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pivotTables/pivotTable159.xml" ContentType="application/vnd.openxmlformats-officedocument.spreadsheetml.pivotTable+xml"/>
  <Override PartName="/xl/pivotTables/pivotTable160.xml" ContentType="application/vnd.openxmlformats-officedocument.spreadsheetml.pivotTable+xml"/>
  <Override PartName="/xl/pivotTables/pivotTable161.xml" ContentType="application/vnd.openxmlformats-officedocument.spreadsheetml.pivotTable+xml"/>
  <Override PartName="/xl/pivotTables/pivotTable162.xml" ContentType="application/vnd.openxmlformats-officedocument.spreadsheetml.pivotTable+xml"/>
  <Override PartName="/xl/pivotTables/pivotTable163.xml" ContentType="application/vnd.openxmlformats-officedocument.spreadsheetml.pivotTable+xml"/>
  <Override PartName="/xl/pivotTables/pivotTable164.xml" ContentType="application/vnd.openxmlformats-officedocument.spreadsheetml.pivotTable+xml"/>
  <Override PartName="/xl/pivotTables/pivotTable165.xml" ContentType="application/vnd.openxmlformats-officedocument.spreadsheetml.pivotTable+xml"/>
  <Override PartName="/xl/pivotTables/pivotTable166.xml" ContentType="application/vnd.openxmlformats-officedocument.spreadsheetml.pivotTable+xml"/>
  <Override PartName="/xl/pivotTables/pivotTable167.xml" ContentType="application/vnd.openxmlformats-officedocument.spreadsheetml.pivotTable+xml"/>
  <Override PartName="/xl/pivotTables/pivotTable168.xml" ContentType="application/vnd.openxmlformats-officedocument.spreadsheetml.pivotTable+xml"/>
  <Override PartName="/xl/pivotTables/pivotTable169.xml" ContentType="application/vnd.openxmlformats-officedocument.spreadsheetml.pivotTable+xml"/>
  <Override PartName="/xl/pivotTables/pivotTable170.xml" ContentType="application/vnd.openxmlformats-officedocument.spreadsheetml.pivotTable+xml"/>
  <Override PartName="/xl/pivotTables/pivotTable171.xml" ContentType="application/vnd.openxmlformats-officedocument.spreadsheetml.pivotTable+xml"/>
  <Override PartName="/xl/pivotTables/pivotTable172.xml" ContentType="application/vnd.openxmlformats-officedocument.spreadsheetml.pivotTable+xml"/>
  <Override PartName="/xl/pivotTables/pivotTable173.xml" ContentType="application/vnd.openxmlformats-officedocument.spreadsheetml.pivotTable+xml"/>
  <Override PartName="/xl/pivotTables/pivotTable174.xml" ContentType="application/vnd.openxmlformats-officedocument.spreadsheetml.pivotTable+xml"/>
  <Override PartName="/xl/pivotTables/pivotTable175.xml" ContentType="application/vnd.openxmlformats-officedocument.spreadsheetml.pivotTable+xml"/>
  <Override PartName="/xl/pivotTables/pivotTable176.xml" ContentType="application/vnd.openxmlformats-officedocument.spreadsheetml.pivotTable+xml"/>
  <Override PartName="/xl/pivotTables/pivotTable177.xml" ContentType="application/vnd.openxmlformats-officedocument.spreadsheetml.pivotTable+xml"/>
  <Override PartName="/xl/pivotTables/pivotTable178.xml" ContentType="application/vnd.openxmlformats-officedocument.spreadsheetml.pivotTable+xml"/>
  <Override PartName="/xl/pivotTables/pivotTable179.xml" ContentType="application/vnd.openxmlformats-officedocument.spreadsheetml.pivotTable+xml"/>
  <Override PartName="/xl/pivotTables/pivotTable180.xml" ContentType="application/vnd.openxmlformats-officedocument.spreadsheetml.pivotTable+xml"/>
  <Override PartName="/xl/pivotTables/pivotTable181.xml" ContentType="application/vnd.openxmlformats-officedocument.spreadsheetml.pivotTable+xml"/>
  <Override PartName="/xl/pivotTables/pivotTable182.xml" ContentType="application/vnd.openxmlformats-officedocument.spreadsheetml.pivotTable+xml"/>
  <Override PartName="/xl/pivotTables/pivotTable183.xml" ContentType="application/vnd.openxmlformats-officedocument.spreadsheetml.pivotTable+xml"/>
  <Override PartName="/xl/pivotTables/pivotTable184.xml" ContentType="application/vnd.openxmlformats-officedocument.spreadsheetml.pivotTable+xml"/>
  <Override PartName="/xl/pivotTables/pivotTable185.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hidePivotFieldList="1" defaultThemeVersion="124226"/>
  <mc:AlternateContent xmlns:mc="http://schemas.openxmlformats.org/markup-compatibility/2006">
    <mc:Choice Requires="x15">
      <x15ac:absPath xmlns:x15ac="http://schemas.microsoft.com/office/spreadsheetml/2010/11/ac" url="S:\Objekt_Skola\Sammanställning - enkäter\Skolenkäter 2022-2023\Resultat 2023\Klara att leverera 2023\"/>
    </mc:Choice>
  </mc:AlternateContent>
  <xr:revisionPtr revIDLastSave="0" documentId="13_ncr:1_{0645D3EE-D006-4490-A3FC-5350E38FF251}" xr6:coauthVersionLast="47" xr6:coauthVersionMax="47" xr10:uidLastSave="{00000000-0000-0000-0000-000000000000}"/>
  <workbookProtection workbookAlgorithmName="SHA-512" workbookHashValue="S5qgp0i8fIBqq532mrvq5OwSfC1qCoY7PFZHY44iC8JoEkVGcvOWHQoHwqjssejagkw/+oW1efUggV6Q2b9nPQ==" workbookSaltValue="BzKaq0HOGAJI7f1zM2Ai3Q==" workbookSpinCount="100000" lockStructure="1"/>
  <bookViews>
    <workbookView xWindow="28800" yWindow="0" windowWidth="25800" windowHeight="21000" xr2:uid="{D4AFD6B2-66CC-420B-B894-A8B3FFA3B598}"/>
  </bookViews>
  <sheets>
    <sheet name="Tabeller" sheetId="6" r:id="rId1"/>
    <sheet name="Snabböversikt" sheetId="17" r:id="rId2"/>
    <sheet name="Historik medelvärden" sheetId="21" r:id="rId3"/>
    <sheet name="Svarsfrekvens" sheetId="11" r:id="rId4"/>
    <sheet name="pivot" sheetId="14" state="hidden" r:id="rId5"/>
    <sheet name="Pivot Index" sheetId="19" state="hidden" r:id="rId6"/>
    <sheet name="Blad4" sheetId="20" state="hidden" r:id="rId7"/>
  </sheets>
  <definedNames>
    <definedName name="_xlnm.Print_Area" localSheetId="0">Tabeller!$B$1:$L$428</definedName>
    <definedName name="Utsnitt_F2">#N/A</definedName>
    <definedName name="Utsnitt_F21">#N/A</definedName>
    <definedName name="Utsnitt_Kön">#N/A</definedName>
    <definedName name="Utsnitt_Kön1">#N/A</definedName>
  </definedNames>
  <calcPr calcId="191029"/>
  <pivotCaches>
    <pivotCache cacheId="18" r:id="rId8"/>
    <pivotCache cacheId="19"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1" l="1"/>
  <c r="C9" i="11"/>
  <c r="E8" i="11"/>
  <c r="E7" i="11"/>
  <c r="E6" i="11"/>
  <c r="E5" i="11"/>
  <c r="E4" i="11"/>
  <c r="M5" i="21"/>
  <c r="P4" i="17"/>
  <c r="Q33" i="21"/>
  <c r="N12" i="21"/>
  <c r="N24" i="21"/>
  <c r="N20" i="21"/>
  <c r="Q8" i="21"/>
  <c r="Q31" i="21"/>
  <c r="AA4" i="17"/>
  <c r="N6" i="21"/>
  <c r="U4" i="17"/>
  <c r="X4" i="17"/>
  <c r="Q25" i="21"/>
  <c r="Q13" i="21"/>
  <c r="F4" i="17"/>
  <c r="I4" i="17"/>
  <c r="N21" i="21"/>
  <c r="Q6" i="21"/>
  <c r="Q22" i="21"/>
  <c r="Q10" i="21"/>
  <c r="J4" i="17"/>
  <c r="V4" i="17"/>
  <c r="C4" i="17"/>
  <c r="E4" i="17"/>
  <c r="H4" i="17"/>
  <c r="Q30" i="21"/>
  <c r="Q26" i="21"/>
  <c r="N7" i="21"/>
  <c r="N30" i="21"/>
  <c r="N11" i="21"/>
  <c r="N9" i="21"/>
  <c r="D4" i="17"/>
  <c r="Q20" i="21"/>
  <c r="N8" i="21"/>
  <c r="N32" i="21"/>
  <c r="Q27" i="21"/>
  <c r="N25" i="21"/>
  <c r="AD4" i="17"/>
  <c r="AB4" i="17"/>
  <c r="Q9" i="21"/>
  <c r="Q17" i="21"/>
  <c r="N18" i="21"/>
  <c r="L4" i="17"/>
  <c r="N33" i="21"/>
  <c r="Q32" i="21"/>
  <c r="O4" i="17"/>
  <c r="N14" i="21"/>
  <c r="Q4" i="17"/>
  <c r="N10" i="21"/>
  <c r="W4" i="17"/>
  <c r="Q23" i="21"/>
  <c r="N4" i="17"/>
  <c r="N15" i="21"/>
  <c r="N23" i="21"/>
  <c r="AC4" i="17"/>
  <c r="G4" i="17"/>
  <c r="Q18" i="21"/>
  <c r="N22" i="21"/>
  <c r="N16" i="21"/>
  <c r="T4" i="17"/>
  <c r="N19" i="21"/>
  <c r="N29" i="21"/>
  <c r="N27" i="21"/>
  <c r="Q24" i="21"/>
  <c r="N13" i="21"/>
  <c r="Q14" i="21"/>
  <c r="Q12" i="21"/>
  <c r="N31" i="21"/>
  <c r="Q28" i="21"/>
  <c r="Q21" i="21"/>
  <c r="N17" i="21"/>
  <c r="Q29" i="21"/>
  <c r="M4" i="17"/>
  <c r="S4" i="17"/>
  <c r="Q11" i="21"/>
  <c r="Q15" i="21"/>
  <c r="R4" i="17"/>
  <c r="Q16" i="21"/>
  <c r="N28" i="21"/>
  <c r="N26" i="21"/>
  <c r="Q7" i="21"/>
  <c r="K4" i="17"/>
  <c r="Z4" i="17"/>
  <c r="Q19" i="21"/>
  <c r="Y4" i="17"/>
  <c r="H468" i="6"/>
  <c r="I457" i="6"/>
  <c r="H457" i="6"/>
  <c r="I447" i="6"/>
  <c r="H447" i="6"/>
  <c r="I479" i="6"/>
  <c r="H479" i="6"/>
  <c r="I468" i="6"/>
  <c r="E9" i="11" l="1"/>
  <c r="K398" i="6"/>
  <c r="L189" i="6"/>
  <c r="L135" i="6"/>
  <c r="K148" i="6"/>
  <c r="K94" i="6"/>
  <c r="K283" i="6"/>
  <c r="K436" i="6"/>
  <c r="K423" i="6"/>
  <c r="L175" i="6"/>
  <c r="L68" i="6"/>
  <c r="L312" i="6"/>
  <c r="K162" i="6"/>
  <c r="L410" i="6"/>
  <c r="K175" i="6"/>
  <c r="L364" i="6"/>
  <c r="L81" i="6"/>
  <c r="K107" i="6"/>
  <c r="L227" i="6"/>
  <c r="K55" i="6"/>
  <c r="K299" i="6"/>
  <c r="L270" i="6"/>
  <c r="L107" i="6"/>
  <c r="K338" i="6"/>
  <c r="L162" i="6"/>
  <c r="K257" i="6"/>
  <c r="K364" i="6"/>
  <c r="L120" i="6"/>
  <c r="K325" i="6"/>
  <c r="K227" i="6"/>
  <c r="L214" i="6"/>
  <c r="K120" i="6"/>
  <c r="K410" i="6"/>
  <c r="L283" i="6"/>
  <c r="K312" i="6"/>
  <c r="K68" i="6"/>
  <c r="K240" i="6"/>
  <c r="K214" i="6"/>
  <c r="K135" i="6"/>
  <c r="L325" i="6"/>
  <c r="K270" i="6"/>
  <c r="L55" i="6"/>
  <c r="K189" i="6"/>
  <c r="L240" i="6"/>
  <c r="K81" i="6"/>
  <c r="L299" i="6"/>
  <c r="L257" i="6"/>
  <c r="L398" i="6"/>
  <c r="L148" i="6"/>
  <c r="L338" i="6"/>
  <c r="L423" i="6"/>
  <c r="L436" i="6"/>
  <c r="K351" i="6"/>
  <c r="L94" i="6"/>
  <c r="L351" i="6"/>
  <c r="L201" i="6"/>
  <c r="K201" i="6"/>
  <c r="J5" i="21" l="1"/>
  <c r="P5" i="21"/>
  <c r="K8" i="21"/>
  <c r="F3" i="17"/>
  <c r="K3" i="17"/>
  <c r="Y3" i="17"/>
  <c r="K23" i="21"/>
  <c r="K11" i="21"/>
  <c r="K28" i="21"/>
  <c r="P3" i="17"/>
  <c r="N3" i="17"/>
  <c r="J3" i="17"/>
  <c r="U3" i="17"/>
  <c r="K21" i="21"/>
  <c r="C3" i="17"/>
  <c r="K31" i="21"/>
  <c r="K17" i="21"/>
  <c r="Z3" i="17"/>
  <c r="O3" i="17"/>
  <c r="K14" i="21"/>
  <c r="K7" i="21"/>
  <c r="K15" i="21"/>
  <c r="K24" i="21"/>
  <c r="S3" i="17"/>
  <c r="K26" i="21"/>
  <c r="K18" i="21"/>
  <c r="K6" i="21"/>
  <c r="G3" i="17"/>
  <c r="H3" i="17"/>
  <c r="K22" i="21"/>
  <c r="W3" i="17"/>
  <c r="K33" i="21"/>
  <c r="X3" i="17"/>
  <c r="AB3" i="17"/>
  <c r="I3" i="17"/>
  <c r="R3" i="17"/>
  <c r="M3" i="17"/>
  <c r="E3" i="17"/>
  <c r="K30" i="21"/>
  <c r="K25" i="21"/>
  <c r="K12" i="21"/>
  <c r="K29" i="21"/>
  <c r="AA3" i="17"/>
  <c r="K32" i="21"/>
  <c r="D3" i="17"/>
  <c r="K27" i="21"/>
  <c r="K10" i="21"/>
  <c r="AC3" i="17"/>
  <c r="L3" i="17"/>
  <c r="Q3" i="17"/>
  <c r="K16" i="21"/>
  <c r="K13" i="21"/>
  <c r="V3" i="17"/>
  <c r="T3" i="17"/>
  <c r="K19" i="21"/>
  <c r="K9" i="21"/>
  <c r="K20" i="21"/>
  <c r="AD3" i="17"/>
  <c r="I456" i="6"/>
  <c r="K221" i="6"/>
  <c r="K64" i="6"/>
  <c r="L432" i="6"/>
  <c r="L156" i="6"/>
  <c r="L48" i="6"/>
  <c r="L344" i="6"/>
  <c r="J55" i="6"/>
  <c r="H467" i="6"/>
  <c r="K293" i="6"/>
  <c r="K239" i="6"/>
  <c r="K170" i="6"/>
  <c r="K80" i="6"/>
  <c r="L74" i="6"/>
  <c r="K144" i="6"/>
  <c r="K404" i="6"/>
  <c r="K322" i="6"/>
  <c r="J398" i="6"/>
  <c r="K142" i="6"/>
  <c r="L171" i="6"/>
  <c r="L220" i="6"/>
  <c r="K172" i="6"/>
  <c r="K91" i="6"/>
  <c r="K266" i="6"/>
  <c r="K78" i="6"/>
  <c r="K333" i="6"/>
  <c r="K431" i="6"/>
  <c r="K156" i="6"/>
  <c r="K363" i="6"/>
  <c r="H453" i="6"/>
  <c r="L93" i="6"/>
  <c r="L334" i="6"/>
  <c r="L416" i="6"/>
  <c r="L391" i="6"/>
  <c r="I467" i="6"/>
  <c r="L395" i="6"/>
  <c r="L102" i="6"/>
  <c r="L347" i="6"/>
  <c r="J175" i="6"/>
  <c r="K222" i="6"/>
  <c r="L91" i="6"/>
  <c r="I442" i="6"/>
  <c r="L265" i="6"/>
  <c r="K51" i="6"/>
  <c r="K418" i="6"/>
  <c r="L223" i="6"/>
  <c r="L263" i="6"/>
  <c r="K169" i="6"/>
  <c r="I443" i="6"/>
  <c r="J94" i="6"/>
  <c r="L77" i="6"/>
  <c r="K65" i="6"/>
  <c r="I475" i="6"/>
  <c r="L406" i="6"/>
  <c r="L134" i="6"/>
  <c r="K403" i="6"/>
  <c r="K50" i="6"/>
  <c r="K87" i="6"/>
  <c r="K250" i="6"/>
  <c r="L431" i="6"/>
  <c r="L295" i="6"/>
  <c r="K101" i="6"/>
  <c r="J364" i="6"/>
  <c r="L75" i="6"/>
  <c r="K344" i="6"/>
  <c r="K420" i="6"/>
  <c r="L236" i="6"/>
  <c r="K93" i="6"/>
  <c r="K337" i="6"/>
  <c r="L182" i="6"/>
  <c r="K397" i="6"/>
  <c r="K196" i="6"/>
  <c r="K348" i="6"/>
  <c r="J120" i="6"/>
  <c r="K208" i="6"/>
  <c r="K171" i="6"/>
  <c r="L282" i="6"/>
  <c r="L269" i="6"/>
  <c r="K89" i="6"/>
  <c r="L64" i="6"/>
  <c r="L318" i="6"/>
  <c r="K306" i="6"/>
  <c r="L185" i="6"/>
  <c r="L49" i="6"/>
  <c r="K75" i="6"/>
  <c r="L256" i="6"/>
  <c r="K104" i="6"/>
  <c r="L333" i="6"/>
  <c r="L226" i="6"/>
  <c r="K319" i="6"/>
  <c r="K209" i="6"/>
  <c r="K320" i="6"/>
  <c r="J148" i="6"/>
  <c r="L115" i="6"/>
  <c r="K198" i="6"/>
  <c r="K394" i="6"/>
  <c r="K106" i="6"/>
  <c r="L350" i="6"/>
  <c r="L252" i="6"/>
  <c r="L360" i="6"/>
  <c r="L209" i="6"/>
  <c r="L237" i="6"/>
  <c r="K113" i="6"/>
  <c r="L430" i="6"/>
  <c r="L435" i="6"/>
  <c r="K256" i="6"/>
  <c r="K416" i="6"/>
  <c r="H463" i="6"/>
  <c r="L210" i="6"/>
  <c r="J325" i="6"/>
  <c r="H478" i="6"/>
  <c r="L309" i="6"/>
  <c r="K359" i="6"/>
  <c r="K318" i="6"/>
  <c r="K114" i="6"/>
  <c r="K147" i="6"/>
  <c r="L78" i="6"/>
  <c r="K430" i="6"/>
  <c r="L101" i="6"/>
  <c r="H474" i="6"/>
  <c r="L363" i="6"/>
  <c r="K130" i="6"/>
  <c r="L87" i="6"/>
  <c r="K224" i="6"/>
  <c r="K116" i="6"/>
  <c r="K233" i="6"/>
  <c r="K251" i="6"/>
  <c r="L106" i="6"/>
  <c r="L305" i="6"/>
  <c r="L130" i="6"/>
  <c r="L233" i="6"/>
  <c r="L418" i="6"/>
  <c r="J227" i="6"/>
  <c r="K346" i="6"/>
  <c r="K279" i="6"/>
  <c r="K52" i="6"/>
  <c r="L172" i="6"/>
  <c r="K345" i="6"/>
  <c r="L200" i="6"/>
  <c r="I446" i="6"/>
  <c r="K309" i="6"/>
  <c r="J283" i="6"/>
  <c r="L103" i="6"/>
  <c r="K409" i="6"/>
  <c r="K265" i="6"/>
  <c r="K282" i="6"/>
  <c r="L54" i="6"/>
  <c r="K324" i="6"/>
  <c r="L235" i="6"/>
  <c r="L213" i="6"/>
  <c r="K226" i="6"/>
  <c r="K307" i="6"/>
  <c r="H456" i="6"/>
  <c r="L254" i="6"/>
  <c r="L320" i="6"/>
  <c r="L188" i="6"/>
  <c r="L417" i="6"/>
  <c r="L116" i="6"/>
  <c r="K183" i="6"/>
  <c r="L361" i="6"/>
  <c r="L62" i="6"/>
  <c r="K100" i="6"/>
  <c r="K186" i="6"/>
  <c r="J240" i="6"/>
  <c r="K392" i="6"/>
  <c r="L397" i="6"/>
  <c r="L405" i="6"/>
  <c r="K393" i="6"/>
  <c r="L276" i="6"/>
  <c r="L224" i="6"/>
  <c r="K395" i="6"/>
  <c r="J214" i="6"/>
  <c r="J436" i="6"/>
  <c r="J351" i="6"/>
  <c r="K234" i="6"/>
  <c r="L409" i="6"/>
  <c r="K405" i="6"/>
  <c r="L197" i="6"/>
  <c r="K335" i="6"/>
  <c r="K236" i="6"/>
  <c r="L394" i="6"/>
  <c r="I478" i="6"/>
  <c r="L113" i="6"/>
  <c r="L196" i="6"/>
  <c r="K435" i="6"/>
  <c r="L184" i="6"/>
  <c r="H464" i="6"/>
  <c r="K308" i="6"/>
  <c r="K292" i="6"/>
  <c r="K88" i="6"/>
  <c r="L250" i="6"/>
  <c r="J107" i="6"/>
  <c r="L332" i="6"/>
  <c r="K406" i="6"/>
  <c r="L65" i="6"/>
  <c r="J338" i="6"/>
  <c r="L429" i="6"/>
  <c r="K407" i="6"/>
  <c r="I463" i="6"/>
  <c r="L183" i="6"/>
  <c r="L307" i="6"/>
  <c r="L207" i="6"/>
  <c r="L142" i="6"/>
  <c r="H454" i="6"/>
  <c r="K185" i="6"/>
  <c r="L100" i="6"/>
  <c r="L308" i="6"/>
  <c r="L337" i="6"/>
  <c r="K391" i="6"/>
  <c r="K350" i="6"/>
  <c r="K332" i="6"/>
  <c r="L331" i="6"/>
  <c r="L104" i="6"/>
  <c r="K157" i="6"/>
  <c r="L267" i="6"/>
  <c r="J410" i="6"/>
  <c r="K334" i="6"/>
  <c r="L393" i="6"/>
  <c r="K131" i="6"/>
  <c r="K132" i="6"/>
  <c r="K117" i="6"/>
  <c r="K159" i="6"/>
  <c r="I474" i="6"/>
  <c r="K48" i="6"/>
  <c r="L141" i="6"/>
  <c r="J135" i="6"/>
  <c r="L211" i="6"/>
  <c r="L358" i="6"/>
  <c r="L392" i="6"/>
  <c r="J257" i="6"/>
  <c r="L194" i="6"/>
  <c r="K305" i="6"/>
  <c r="L132" i="6"/>
  <c r="K235" i="6"/>
  <c r="L50" i="6"/>
  <c r="L319" i="6"/>
  <c r="K264" i="6"/>
  <c r="L159" i="6"/>
  <c r="L161" i="6"/>
  <c r="K200" i="6"/>
  <c r="L195" i="6"/>
  <c r="K280" i="6"/>
  <c r="J201" i="6"/>
  <c r="L322" i="6"/>
  <c r="L143" i="6"/>
  <c r="K161" i="6"/>
  <c r="K90" i="6"/>
  <c r="L264" i="6"/>
  <c r="L221" i="6"/>
  <c r="K61" i="6"/>
  <c r="L296" i="6"/>
  <c r="L321" i="6"/>
  <c r="H442" i="6"/>
  <c r="K103" i="6"/>
  <c r="K143" i="6"/>
  <c r="H465" i="6"/>
  <c r="L186" i="6"/>
  <c r="L278" i="6"/>
  <c r="K417" i="6"/>
  <c r="L90" i="6"/>
  <c r="K253" i="6"/>
  <c r="J162" i="6"/>
  <c r="I476" i="6"/>
  <c r="L306" i="6"/>
  <c r="K211" i="6"/>
  <c r="K197" i="6"/>
  <c r="L280" i="6"/>
  <c r="J299" i="6"/>
  <c r="L311" i="6"/>
  <c r="L253" i="6"/>
  <c r="K145" i="6"/>
  <c r="J270" i="6"/>
  <c r="K62" i="6"/>
  <c r="L292" i="6"/>
  <c r="K184" i="6"/>
  <c r="K278" i="6"/>
  <c r="I454" i="6"/>
  <c r="K220" i="6"/>
  <c r="K67" i="6"/>
  <c r="J423" i="6"/>
  <c r="K194" i="6"/>
  <c r="L298" i="6"/>
  <c r="L63" i="6"/>
  <c r="K263" i="6"/>
  <c r="K422" i="6"/>
  <c r="L335" i="6"/>
  <c r="K102" i="6"/>
  <c r="K168" i="6"/>
  <c r="I464" i="6"/>
  <c r="K213" i="6"/>
  <c r="K54" i="6"/>
  <c r="K432" i="6"/>
  <c r="L169" i="6"/>
  <c r="L52" i="6"/>
  <c r="L155" i="6"/>
  <c r="K141" i="6"/>
  <c r="J189" i="6"/>
  <c r="L348" i="6"/>
  <c r="K277" i="6"/>
  <c r="L88" i="6"/>
  <c r="L131" i="6"/>
  <c r="K174" i="6"/>
  <c r="K134" i="6"/>
  <c r="K207" i="6"/>
  <c r="K237" i="6"/>
  <c r="H475" i="6"/>
  <c r="K429" i="6"/>
  <c r="K223" i="6"/>
  <c r="K195" i="6"/>
  <c r="K119" i="6"/>
  <c r="L147" i="6"/>
  <c r="L266" i="6"/>
  <c r="L67" i="6"/>
  <c r="L407" i="6"/>
  <c r="K311" i="6"/>
  <c r="L157" i="6"/>
  <c r="L208" i="6"/>
  <c r="K360" i="6"/>
  <c r="L419" i="6"/>
  <c r="L114" i="6"/>
  <c r="L119" i="6"/>
  <c r="K155" i="6"/>
  <c r="L144" i="6"/>
  <c r="L357" i="6"/>
  <c r="I444" i="6"/>
  <c r="K347" i="6"/>
  <c r="K298" i="6"/>
  <c r="K128" i="6"/>
  <c r="L251" i="6"/>
  <c r="J81" i="6"/>
  <c r="L324" i="6"/>
  <c r="H446" i="6"/>
  <c r="K295" i="6"/>
  <c r="K158" i="6"/>
  <c r="L293" i="6"/>
  <c r="K49" i="6"/>
  <c r="L76" i="6"/>
  <c r="L294" i="6"/>
  <c r="L345" i="6"/>
  <c r="L170" i="6"/>
  <c r="K129" i="6"/>
  <c r="J68" i="6"/>
  <c r="L129" i="6"/>
  <c r="K63" i="6"/>
  <c r="L89" i="6"/>
  <c r="K331" i="6"/>
  <c r="K269" i="6"/>
  <c r="K74" i="6"/>
  <c r="L222" i="6"/>
  <c r="K361" i="6"/>
  <c r="L422" i="6"/>
  <c r="L117" i="6"/>
  <c r="G8" i="6"/>
  <c r="K294" i="6"/>
  <c r="H444" i="6"/>
  <c r="H476" i="6"/>
  <c r="K254" i="6"/>
  <c r="K77" i="6"/>
  <c r="L174" i="6"/>
  <c r="L80" i="6"/>
  <c r="H443" i="6"/>
  <c r="K267" i="6"/>
  <c r="J312" i="6"/>
  <c r="K276" i="6"/>
  <c r="K433" i="6"/>
  <c r="L51" i="6"/>
  <c r="L279" i="6"/>
  <c r="K182" i="6"/>
  <c r="L433" i="6"/>
  <c r="K76" i="6"/>
  <c r="K188" i="6"/>
  <c r="L198" i="6"/>
  <c r="L168" i="6"/>
  <c r="L128" i="6"/>
  <c r="L158" i="6"/>
  <c r="I453" i="6"/>
  <c r="K419" i="6"/>
  <c r="L420" i="6"/>
  <c r="K252" i="6"/>
  <c r="L61" i="6"/>
  <c r="K115" i="6"/>
  <c r="K357" i="6"/>
  <c r="K210" i="6"/>
  <c r="K296" i="6"/>
  <c r="K358" i="6"/>
  <c r="L234" i="6"/>
  <c r="L346" i="6"/>
  <c r="L404" i="6"/>
  <c r="K321" i="6"/>
  <c r="L145" i="6"/>
  <c r="L277" i="6"/>
  <c r="L403" i="6"/>
  <c r="I465" i="6"/>
  <c r="L359" i="6"/>
  <c r="L239" i="6"/>
  <c r="H445" i="6" l="1"/>
  <c r="I445" i="6"/>
  <c r="K146" i="6"/>
  <c r="K187" i="6"/>
  <c r="K173" i="6"/>
  <c r="K66" i="6"/>
  <c r="K349" i="6"/>
  <c r="H477" i="6"/>
  <c r="K362" i="6"/>
  <c r="K434" i="6"/>
  <c r="K421" i="6"/>
  <c r="K408" i="6"/>
  <c r="K133" i="6"/>
  <c r="K297" i="6"/>
  <c r="K255" i="6"/>
  <c r="K268" i="6"/>
  <c r="K105" i="6"/>
  <c r="K336" i="6"/>
  <c r="K225" i="6"/>
  <c r="K238" i="6"/>
  <c r="K323" i="6"/>
  <c r="K212" i="6"/>
  <c r="K310" i="6"/>
  <c r="K92" i="6"/>
  <c r="K396" i="6"/>
  <c r="K160" i="6"/>
  <c r="H466" i="6"/>
  <c r="H455" i="6"/>
  <c r="K118" i="6"/>
  <c r="K79" i="6"/>
  <c r="K281" i="6"/>
  <c r="K53" i="6"/>
  <c r="K199" i="6"/>
  <c r="D5" i="21"/>
  <c r="G5" i="21"/>
  <c r="J256" i="6"/>
  <c r="J403" i="6"/>
  <c r="J265" i="6"/>
  <c r="J104" i="6"/>
  <c r="J292" i="6"/>
  <c r="J75" i="6"/>
  <c r="J419" i="6"/>
  <c r="J347" i="6"/>
  <c r="J223" i="6"/>
  <c r="J128" i="6"/>
  <c r="J65" i="6"/>
  <c r="J309" i="6"/>
  <c r="J130" i="6"/>
  <c r="J194" i="6"/>
  <c r="J222" i="6"/>
  <c r="J51" i="6"/>
  <c r="J100" i="6"/>
  <c r="J319" i="6"/>
  <c r="J263" i="6"/>
  <c r="J406" i="6"/>
  <c r="J306" i="6"/>
  <c r="J279" i="6"/>
  <c r="J220" i="6"/>
  <c r="J174" i="6"/>
  <c r="J276" i="6"/>
  <c r="J431" i="6"/>
  <c r="J172" i="6"/>
  <c r="J417" i="6"/>
  <c r="J63" i="6"/>
  <c r="J78" i="6"/>
  <c r="J435" i="6"/>
  <c r="J209" i="6"/>
  <c r="J144" i="6"/>
  <c r="J295" i="6"/>
  <c r="J183" i="6"/>
  <c r="J142" i="6"/>
  <c r="J211" i="6"/>
  <c r="J93" i="6"/>
  <c r="J129" i="6"/>
  <c r="J418" i="6"/>
  <c r="J294" i="6"/>
  <c r="J208" i="6"/>
  <c r="J335" i="6"/>
  <c r="J159" i="6"/>
  <c r="J195" i="6"/>
  <c r="J333" i="6"/>
  <c r="J346" i="6"/>
  <c r="J48" i="6"/>
  <c r="J87" i="6"/>
  <c r="J184" i="6"/>
  <c r="J197" i="6"/>
  <c r="J250" i="6"/>
  <c r="J54" i="6"/>
  <c r="J74" i="6"/>
  <c r="J101" i="6"/>
  <c r="J269" i="6"/>
  <c r="J207" i="6"/>
  <c r="J198" i="6"/>
  <c r="J433" i="6"/>
  <c r="J52" i="6"/>
  <c r="J266" i="6"/>
  <c r="J393" i="6"/>
  <c r="J116" i="6"/>
  <c r="J392" i="6"/>
  <c r="J350" i="6"/>
  <c r="J226" i="6"/>
  <c r="J422" i="6"/>
  <c r="J237" i="6"/>
  <c r="J404" i="6"/>
  <c r="J117" i="6"/>
  <c r="J155" i="6"/>
  <c r="J64" i="6"/>
  <c r="J363" i="6"/>
  <c r="J305" i="6"/>
  <c r="J397" i="6"/>
  <c r="J115" i="6"/>
  <c r="J157" i="6"/>
  <c r="J296" i="6"/>
  <c r="J430" i="6"/>
  <c r="J119" i="6"/>
  <c r="J420" i="6"/>
  <c r="J324" i="6"/>
  <c r="J394" i="6"/>
  <c r="J188" i="6"/>
  <c r="J360" i="6"/>
  <c r="J280" i="6"/>
  <c r="J62" i="6"/>
  <c r="J145" i="6"/>
  <c r="J213" i="6"/>
  <c r="J409" i="6"/>
  <c r="J76" i="6"/>
  <c r="J134" i="6"/>
  <c r="J322" i="6"/>
  <c r="J77" i="6"/>
  <c r="J308" i="6"/>
  <c r="J224" i="6"/>
  <c r="J182" i="6"/>
  <c r="J131" i="6"/>
  <c r="J429" i="6"/>
  <c r="J236" i="6"/>
  <c r="J143" i="6"/>
  <c r="J103" i="6"/>
  <c r="J80" i="6"/>
  <c r="J358" i="6"/>
  <c r="J293" i="6"/>
  <c r="J277" i="6"/>
  <c r="J359" i="6"/>
  <c r="J405" i="6"/>
  <c r="J357" i="6"/>
  <c r="J113" i="6"/>
  <c r="J311" i="6"/>
  <c r="J161" i="6"/>
  <c r="J320" i="6"/>
  <c r="J416" i="6"/>
  <c r="J395" i="6"/>
  <c r="J267" i="6"/>
  <c r="J67" i="6"/>
  <c r="J168" i="6"/>
  <c r="J234" i="6"/>
  <c r="J132" i="6"/>
  <c r="J169" i="6"/>
  <c r="J282" i="6"/>
  <c r="J254" i="6"/>
  <c r="J196" i="6"/>
  <c r="J90" i="6"/>
  <c r="J345" i="6"/>
  <c r="J253" i="6"/>
  <c r="J210" i="6"/>
  <c r="J91" i="6"/>
  <c r="J318" i="6"/>
  <c r="J221" i="6"/>
  <c r="J141" i="6"/>
  <c r="J332" i="6"/>
  <c r="J49" i="6"/>
  <c r="J432" i="6"/>
  <c r="J252" i="6"/>
  <c r="J264" i="6"/>
  <c r="J233" i="6"/>
  <c r="J88" i="6"/>
  <c r="J50" i="6"/>
  <c r="J307" i="6"/>
  <c r="J89" i="6"/>
  <c r="J61" i="6"/>
  <c r="J391" i="6"/>
  <c r="J321" i="6"/>
  <c r="J334" i="6"/>
  <c r="J251" i="6"/>
  <c r="J331" i="6"/>
  <c r="J186" i="6"/>
  <c r="J278" i="6"/>
  <c r="J114" i="6"/>
  <c r="J102" i="6"/>
  <c r="J170" i="6"/>
  <c r="J185" i="6"/>
  <c r="J158" i="6"/>
  <c r="J298" i="6"/>
  <c r="J337" i="6"/>
  <c r="J106" i="6"/>
  <c r="J235" i="6"/>
  <c r="J344" i="6"/>
  <c r="J407" i="6"/>
  <c r="J171" i="6"/>
  <c r="J200" i="6"/>
  <c r="J156" i="6"/>
  <c r="J348" i="6"/>
  <c r="J239" i="6"/>
  <c r="J361" i="6"/>
  <c r="J147" i="6"/>
  <c r="J408" i="6" l="1"/>
  <c r="J255" i="6"/>
  <c r="J187" i="6"/>
  <c r="J297" i="6"/>
  <c r="J160" i="6"/>
  <c r="J362" i="6"/>
  <c r="J133" i="6"/>
  <c r="J79" i="6"/>
  <c r="J434" i="6"/>
  <c r="J225" i="6"/>
  <c r="J92" i="6"/>
  <c r="J66" i="6"/>
  <c r="J323" i="6"/>
  <c r="J310" i="6"/>
  <c r="J268" i="6"/>
  <c r="J281" i="6"/>
  <c r="J199" i="6"/>
  <c r="J146" i="6"/>
  <c r="J212" i="6"/>
  <c r="J349" i="6"/>
  <c r="J53" i="6"/>
  <c r="J421" i="6"/>
  <c r="J118" i="6"/>
  <c r="J396" i="6"/>
  <c r="J336" i="6"/>
  <c r="J173" i="6"/>
  <c r="J238" i="6"/>
  <c r="J105" i="6"/>
  <c r="H26" i="21"/>
  <c r="H28" i="21"/>
  <c r="E14" i="21"/>
  <c r="E13" i="21"/>
  <c r="E24" i="21"/>
  <c r="E25" i="21"/>
  <c r="E11" i="21"/>
  <c r="E22" i="21"/>
  <c r="H7" i="21"/>
  <c r="H17" i="21"/>
  <c r="H9" i="21"/>
  <c r="H19" i="21"/>
  <c r="H27" i="21"/>
  <c r="E32" i="21"/>
  <c r="E30" i="21"/>
  <c r="H15" i="21"/>
  <c r="E12" i="21"/>
  <c r="H20" i="21"/>
  <c r="H14" i="21"/>
  <c r="H13" i="21"/>
  <c r="E9" i="21"/>
  <c r="E21" i="21"/>
  <c r="H32" i="21"/>
  <c r="H12" i="21"/>
  <c r="H23" i="21"/>
  <c r="H10" i="21"/>
  <c r="H18" i="21"/>
  <c r="H33" i="21"/>
  <c r="H30" i="21"/>
  <c r="H24" i="21"/>
  <c r="E23" i="21"/>
  <c r="H31" i="21"/>
  <c r="H8" i="21"/>
  <c r="E27" i="21"/>
  <c r="E7" i="21"/>
  <c r="H11" i="21"/>
  <c r="H21" i="21"/>
  <c r="H16" i="21"/>
  <c r="H22" i="21"/>
  <c r="E28" i="21"/>
  <c r="E8" i="21"/>
  <c r="H6" i="21"/>
  <c r="E31" i="21"/>
  <c r="E17" i="21"/>
  <c r="E16" i="21"/>
  <c r="H25" i="21"/>
  <c r="E6" i="21"/>
  <c r="E19" i="21"/>
  <c r="E29" i="21"/>
  <c r="E18" i="21"/>
  <c r="E15" i="21"/>
  <c r="E20" i="21"/>
  <c r="H29" i="21"/>
  <c r="E10" i="21"/>
  <c r="E33" i="21"/>
  <c r="E26" i="21"/>
  <c r="I455" i="6" l="1"/>
  <c r="I477" i="6"/>
  <c r="I466" i="6"/>
  <c r="L323" i="6"/>
  <c r="L434" i="6"/>
  <c r="L408" i="6"/>
  <c r="L336" i="6"/>
  <c r="L310" i="6"/>
  <c r="L281" i="6"/>
  <c r="L255" i="6"/>
  <c r="L212" i="6"/>
  <c r="L199" i="6"/>
  <c r="L187" i="6"/>
  <c r="L173" i="6"/>
  <c r="L146" i="6"/>
  <c r="L118" i="6"/>
  <c r="L92" i="6"/>
  <c r="L66" i="6"/>
  <c r="L225" i="6"/>
  <c r="L362" i="6"/>
  <c r="L396" i="6"/>
  <c r="L349" i="6"/>
  <c r="L297" i="6"/>
  <c r="L238" i="6"/>
  <c r="L160" i="6"/>
  <c r="L133" i="6"/>
  <c r="L105" i="6"/>
  <c r="L53" i="6"/>
  <c r="L421" i="6"/>
  <c r="L268" i="6"/>
  <c r="L79" i="6"/>
  <c r="I55" i="6"/>
  <c r="I68" i="6"/>
  <c r="I240" i="6"/>
  <c r="H270" i="6"/>
  <c r="H436" i="6"/>
  <c r="I410" i="6"/>
  <c r="I338" i="6"/>
  <c r="I148" i="6"/>
  <c r="H175" i="6"/>
  <c r="I423" i="6"/>
  <c r="H398" i="6"/>
  <c r="H257" i="6"/>
  <c r="I270" i="6"/>
  <c r="I201" i="6"/>
  <c r="I325" i="6"/>
  <c r="I175" i="6"/>
  <c r="I120" i="6"/>
  <c r="I135" i="6"/>
  <c r="I189" i="6"/>
  <c r="H283" i="6"/>
  <c r="I94" i="6"/>
  <c r="I312" i="6"/>
  <c r="I364" i="6"/>
  <c r="I227" i="6"/>
  <c r="H423" i="6"/>
  <c r="I398" i="6"/>
  <c r="I107" i="6"/>
  <c r="I214" i="6"/>
  <c r="H410" i="6"/>
  <c r="I299" i="6"/>
  <c r="I162" i="6"/>
  <c r="I436" i="6"/>
  <c r="I257" i="6"/>
  <c r="I351" i="6"/>
  <c r="I283" i="6"/>
  <c r="I81" i="6"/>
  <c r="G7" i="6" l="1"/>
  <c r="I49" i="6"/>
  <c r="I254" i="6"/>
  <c r="I403" i="6"/>
  <c r="I357" i="6"/>
  <c r="I397" i="6"/>
  <c r="H406" i="6"/>
  <c r="H429" i="6"/>
  <c r="I132" i="6"/>
  <c r="I88" i="6"/>
  <c r="I422" i="6"/>
  <c r="I345" i="6"/>
  <c r="I239" i="6"/>
  <c r="I221" i="6"/>
  <c r="H404" i="6"/>
  <c r="H282" i="6"/>
  <c r="H430" i="6"/>
  <c r="I308" i="6"/>
  <c r="I147" i="6"/>
  <c r="I409" i="6"/>
  <c r="I48" i="6"/>
  <c r="H351" i="6"/>
  <c r="I406" i="6"/>
  <c r="I168" i="6"/>
  <c r="H251" i="6"/>
  <c r="I235" i="6"/>
  <c r="I350" i="6"/>
  <c r="I158" i="6"/>
  <c r="I188" i="6"/>
  <c r="H266" i="6"/>
  <c r="I282" i="6"/>
  <c r="I234" i="6"/>
  <c r="I331" i="6"/>
  <c r="H407" i="6"/>
  <c r="I156" i="6"/>
  <c r="I306" i="6"/>
  <c r="I305" i="6"/>
  <c r="I359" i="6"/>
  <c r="I220" i="6"/>
  <c r="I430" i="6"/>
  <c r="I393" i="6"/>
  <c r="I77" i="6"/>
  <c r="I236" i="6"/>
  <c r="I432" i="6"/>
  <c r="I358" i="6"/>
  <c r="I337" i="6"/>
  <c r="I311" i="6"/>
  <c r="I144" i="6"/>
  <c r="I106" i="6"/>
  <c r="I252" i="6"/>
  <c r="I119" i="6"/>
  <c r="I186" i="6"/>
  <c r="I117" i="6"/>
  <c r="I224" i="6"/>
  <c r="I52" i="6"/>
  <c r="I294" i="6"/>
  <c r="I185" i="6"/>
  <c r="H433" i="6"/>
  <c r="H417" i="6"/>
  <c r="H172" i="6"/>
  <c r="H312" i="6"/>
  <c r="H397" i="6"/>
  <c r="I208" i="6"/>
  <c r="I429" i="6"/>
  <c r="I309" i="6"/>
  <c r="I213" i="6"/>
  <c r="H168" i="6"/>
  <c r="I87" i="6"/>
  <c r="I392" i="6"/>
  <c r="H277" i="6"/>
  <c r="I263" i="6"/>
  <c r="I346" i="6"/>
  <c r="I65" i="6"/>
  <c r="H68" i="6"/>
  <c r="I103" i="6"/>
  <c r="I419" i="6"/>
  <c r="H169" i="6"/>
  <c r="I78" i="6"/>
  <c r="I134" i="6"/>
  <c r="I324" i="6"/>
  <c r="I200" i="6"/>
  <c r="I222" i="6"/>
  <c r="I161" i="6"/>
  <c r="I361" i="6"/>
  <c r="I293" i="6"/>
  <c r="I184" i="6"/>
  <c r="H279" i="6"/>
  <c r="I51" i="6"/>
  <c r="I183" i="6"/>
  <c r="I318" i="6"/>
  <c r="I253" i="6"/>
  <c r="I207" i="6"/>
  <c r="I391" i="6"/>
  <c r="I130" i="6"/>
  <c r="I155" i="6"/>
  <c r="I307" i="6"/>
  <c r="I116" i="6"/>
  <c r="I407" i="6"/>
  <c r="I298" i="6"/>
  <c r="I335" i="6"/>
  <c r="I76" i="6"/>
  <c r="I433" i="6"/>
  <c r="I128" i="6"/>
  <c r="I233" i="6"/>
  <c r="I74" i="6"/>
  <c r="I295" i="6"/>
  <c r="I113" i="6"/>
  <c r="I54" i="6"/>
  <c r="H276" i="6"/>
  <c r="H422" i="6"/>
  <c r="H405" i="6"/>
  <c r="H418" i="6"/>
  <c r="H269" i="6"/>
  <c r="H264" i="6"/>
  <c r="H420" i="6"/>
  <c r="I395" i="6"/>
  <c r="I296" i="6"/>
  <c r="I198" i="6"/>
  <c r="I319" i="6"/>
  <c r="I195" i="6"/>
  <c r="I280" i="6"/>
  <c r="I416" i="6"/>
  <c r="I90" i="6"/>
  <c r="I223" i="6"/>
  <c r="I129" i="6"/>
  <c r="I197" i="6"/>
  <c r="I143" i="6"/>
  <c r="I344" i="6"/>
  <c r="I334" i="6"/>
  <c r="H392" i="6"/>
  <c r="H395" i="6"/>
  <c r="H250" i="6"/>
  <c r="H391" i="6"/>
  <c r="I292" i="6"/>
  <c r="I174" i="6"/>
  <c r="I141" i="6"/>
  <c r="I196" i="6"/>
  <c r="I114" i="6"/>
  <c r="I363" i="6"/>
  <c r="I170" i="6"/>
  <c r="I142" i="6"/>
  <c r="I418" i="6"/>
  <c r="H278" i="6"/>
  <c r="H252" i="6"/>
  <c r="H431" i="6"/>
  <c r="I102" i="6"/>
  <c r="I431" i="6"/>
  <c r="I89" i="6"/>
  <c r="I50" i="6"/>
  <c r="I115" i="6"/>
  <c r="I332" i="6"/>
  <c r="I322" i="6"/>
  <c r="H263" i="6"/>
  <c r="H81" i="6"/>
  <c r="H94" i="6"/>
  <c r="H265" i="6"/>
  <c r="I360" i="6"/>
  <c r="I256" i="6"/>
  <c r="I394" i="6"/>
  <c r="H325" i="6"/>
  <c r="H299" i="6"/>
  <c r="I250" i="6"/>
  <c r="H280" i="6"/>
  <c r="I417" i="6"/>
  <c r="I159" i="6"/>
  <c r="I93" i="6"/>
  <c r="I67" i="6"/>
  <c r="I80" i="6"/>
  <c r="I194" i="6"/>
  <c r="I267" i="6"/>
  <c r="I321" i="6"/>
  <c r="I278" i="6"/>
  <c r="I211" i="6"/>
  <c r="I209" i="6"/>
  <c r="I347" i="6"/>
  <c r="I404" i="6"/>
  <c r="I237" i="6"/>
  <c r="I63" i="6"/>
  <c r="I157" i="6"/>
  <c r="I269" i="6"/>
  <c r="I276" i="6"/>
  <c r="I171" i="6"/>
  <c r="I64" i="6"/>
  <c r="I265" i="6"/>
  <c r="H171" i="6"/>
  <c r="H435" i="6"/>
  <c r="H403" i="6"/>
  <c r="H253" i="6"/>
  <c r="H55" i="6"/>
  <c r="H174" i="6"/>
  <c r="H394" i="6"/>
  <c r="I210" i="6"/>
  <c r="I169" i="6"/>
  <c r="I420" i="6"/>
  <c r="I100" i="6"/>
  <c r="I333" i="6"/>
  <c r="I131" i="6"/>
  <c r="H393" i="6"/>
  <c r="H338" i="6"/>
  <c r="H107" i="6"/>
  <c r="I226" i="6"/>
  <c r="I145" i="6"/>
  <c r="I101" i="6"/>
  <c r="I61" i="6"/>
  <c r="I251" i="6"/>
  <c r="I91" i="6"/>
  <c r="I279" i="6"/>
  <c r="I405" i="6"/>
  <c r="H416" i="6"/>
  <c r="H267" i="6"/>
  <c r="H432" i="6"/>
  <c r="I75" i="6"/>
  <c r="I277" i="6"/>
  <c r="I435" i="6"/>
  <c r="I172" i="6"/>
  <c r="I348" i="6"/>
  <c r="I264" i="6"/>
  <c r="I182" i="6"/>
  <c r="H256" i="6"/>
  <c r="H364" i="6"/>
  <c r="H409" i="6"/>
  <c r="H254" i="6"/>
  <c r="I266" i="6"/>
  <c r="I320" i="6"/>
  <c r="I62" i="6"/>
  <c r="H170" i="6"/>
  <c r="I104" i="6"/>
  <c r="H419" i="6"/>
  <c r="I461" i="6" l="1"/>
  <c r="I472" i="6"/>
  <c r="I451" i="6"/>
  <c r="I440" i="6"/>
  <c r="L342" i="6"/>
  <c r="L329" i="6"/>
  <c r="L316" i="6"/>
  <c r="L153" i="6"/>
  <c r="L303" i="6"/>
  <c r="L139" i="6"/>
  <c r="L290" i="6"/>
  <c r="L126" i="6"/>
  <c r="L85" i="6"/>
  <c r="L414" i="6"/>
  <c r="L231" i="6"/>
  <c r="L218" i="6"/>
  <c r="L59" i="6"/>
  <c r="L389" i="6"/>
  <c r="L205" i="6"/>
  <c r="L46" i="6"/>
  <c r="L192" i="6"/>
  <c r="L166" i="6"/>
  <c r="L401" i="6"/>
  <c r="L72" i="6"/>
  <c r="L273" i="6"/>
  <c r="L111" i="6"/>
  <c r="L261" i="6"/>
  <c r="L98" i="6"/>
  <c r="L427" i="6"/>
  <c r="L355" i="6"/>
  <c r="L180" i="6"/>
  <c r="L248" i="6"/>
  <c r="I434" i="6"/>
  <c r="I408" i="6"/>
  <c r="I362" i="6"/>
  <c r="I421" i="6"/>
  <c r="I297" i="6"/>
  <c r="I396" i="6"/>
  <c r="I349" i="6"/>
  <c r="I310" i="6"/>
  <c r="I323" i="6"/>
  <c r="I336" i="6"/>
  <c r="H281" i="6"/>
  <c r="H255" i="6"/>
  <c r="H268" i="6"/>
  <c r="I238" i="6"/>
  <c r="I225" i="6"/>
  <c r="I199" i="6"/>
  <c r="I160" i="6"/>
  <c r="I146" i="6"/>
  <c r="I118" i="6"/>
  <c r="I212" i="6"/>
  <c r="I173" i="6"/>
  <c r="I133" i="6"/>
  <c r="I187" i="6"/>
  <c r="I105" i="6"/>
  <c r="I92" i="6"/>
  <c r="I53" i="6"/>
  <c r="I79" i="6"/>
  <c r="I66" i="6"/>
  <c r="I268" i="6"/>
  <c r="H408" i="6"/>
  <c r="H396" i="6"/>
  <c r="H173" i="6"/>
  <c r="H434" i="6"/>
  <c r="H421" i="6"/>
  <c r="H50" i="6"/>
  <c r="H345" i="6"/>
  <c r="H361" i="6"/>
  <c r="H189" i="6"/>
  <c r="H305" i="6"/>
  <c r="H306" i="6"/>
  <c r="H334" i="6"/>
  <c r="H358" i="6"/>
  <c r="H357" i="6"/>
  <c r="H227" i="6"/>
  <c r="H103" i="6"/>
  <c r="H104" i="6"/>
  <c r="H90" i="6"/>
  <c r="H74" i="6"/>
  <c r="H100" i="6"/>
  <c r="H52" i="6"/>
  <c r="H292" i="6"/>
  <c r="H64" i="6"/>
  <c r="H324" i="6"/>
  <c r="H214" i="6"/>
  <c r="H309" i="6"/>
  <c r="H51" i="6"/>
  <c r="H89" i="6"/>
  <c r="H80" i="6"/>
  <c r="H78" i="6"/>
  <c r="H322" i="6"/>
  <c r="H294" i="6"/>
  <c r="H65" i="6"/>
  <c r="H346" i="6"/>
  <c r="H319" i="6"/>
  <c r="H76" i="6"/>
  <c r="H101" i="6"/>
  <c r="H360" i="6"/>
  <c r="H337" i="6"/>
  <c r="H61" i="6"/>
  <c r="H87" i="6"/>
  <c r="H308" i="6"/>
  <c r="H295" i="6"/>
  <c r="H106" i="6"/>
  <c r="H240" i="6"/>
  <c r="H75" i="6"/>
  <c r="H293" i="6"/>
  <c r="H148" i="6"/>
  <c r="H91" i="6"/>
  <c r="H311" i="6"/>
  <c r="H347" i="6"/>
  <c r="H77" i="6"/>
  <c r="H298" i="6"/>
  <c r="H363" i="6"/>
  <c r="H350" i="6"/>
  <c r="H162" i="6"/>
  <c r="H318" i="6"/>
  <c r="H331" i="6"/>
  <c r="H333" i="6"/>
  <c r="H359" i="6"/>
  <c r="H102" i="6"/>
  <c r="H49" i="6"/>
  <c r="H54" i="6"/>
  <c r="H63" i="6"/>
  <c r="H320" i="6"/>
  <c r="H88" i="6"/>
  <c r="H296" i="6"/>
  <c r="H62" i="6"/>
  <c r="H67" i="6"/>
  <c r="H120" i="6"/>
  <c r="H321" i="6"/>
  <c r="H335" i="6"/>
  <c r="H93" i="6"/>
  <c r="H48" i="6"/>
  <c r="H307" i="6"/>
  <c r="H344" i="6"/>
  <c r="H332" i="6"/>
  <c r="H135" i="6"/>
  <c r="H201" i="6"/>
  <c r="H348" i="6"/>
  <c r="H336" i="6" l="1"/>
  <c r="H92" i="6"/>
  <c r="H362" i="6"/>
  <c r="H79" i="6"/>
  <c r="H323" i="6"/>
  <c r="H297" i="6"/>
  <c r="H53" i="6"/>
  <c r="H66" i="6"/>
  <c r="H349" i="6"/>
  <c r="H105" i="6"/>
  <c r="H310" i="6"/>
  <c r="I281" i="6"/>
  <c r="I255" i="6"/>
  <c r="H196" i="6"/>
  <c r="H198" i="6"/>
  <c r="H157" i="6"/>
  <c r="H130" i="6"/>
  <c r="H131" i="6"/>
  <c r="H134" i="6"/>
  <c r="H161" i="6"/>
  <c r="H222" i="6"/>
  <c r="H224" i="6"/>
  <c r="H145" i="6"/>
  <c r="H129" i="6"/>
  <c r="H200" i="6"/>
  <c r="H194" i="6"/>
  <c r="H226" i="6"/>
  <c r="H141" i="6"/>
  <c r="H159" i="6"/>
  <c r="H197" i="6"/>
  <c r="H237" i="6"/>
  <c r="H115" i="6"/>
  <c r="H220" i="6"/>
  <c r="H184" i="6"/>
  <c r="H116" i="6"/>
  <c r="H195" i="6"/>
  <c r="H155" i="6"/>
  <c r="H223" i="6"/>
  <c r="H208" i="6"/>
  <c r="H239" i="6"/>
  <c r="H213" i="6"/>
  <c r="H143" i="6"/>
  <c r="H235" i="6"/>
  <c r="H117" i="6"/>
  <c r="H188" i="6"/>
  <c r="H211" i="6"/>
  <c r="H113" i="6"/>
  <c r="H236" i="6"/>
  <c r="H234" i="6"/>
  <c r="H209" i="6"/>
  <c r="H183" i="6"/>
  <c r="H210" i="6"/>
  <c r="H182" i="6"/>
  <c r="H158" i="6"/>
  <c r="H128" i="6"/>
  <c r="H156" i="6"/>
  <c r="H132" i="6"/>
  <c r="H207" i="6"/>
  <c r="H119" i="6"/>
  <c r="H142" i="6"/>
  <c r="H186" i="6"/>
  <c r="H144" i="6"/>
  <c r="H114" i="6"/>
  <c r="H185" i="6"/>
  <c r="H233" i="6"/>
  <c r="H221" i="6"/>
  <c r="H147" i="6"/>
  <c r="H160" i="6" l="1"/>
  <c r="H187" i="6"/>
  <c r="H146" i="6"/>
  <c r="H199" i="6"/>
  <c r="H133" i="6"/>
  <c r="H225" i="6"/>
  <c r="H238" i="6"/>
  <c r="H118" i="6"/>
  <c r="H212" i="6"/>
</calcChain>
</file>

<file path=xl/sharedStrings.xml><?xml version="1.0" encoding="utf-8"?>
<sst xmlns="http://schemas.openxmlformats.org/spreadsheetml/2006/main" count="1459" uniqueCount="181">
  <si>
    <t>År</t>
  </si>
  <si>
    <t>Totalsumma</t>
  </si>
  <si>
    <t>Vet inte</t>
  </si>
  <si>
    <t>Jag känner mig trygg i skolan</t>
  </si>
  <si>
    <t>Verksamhet:</t>
  </si>
  <si>
    <t>Antal svarande:</t>
  </si>
  <si>
    <t>Totalt</t>
  </si>
  <si>
    <t>Medelvärde</t>
  </si>
  <si>
    <t>Antal svar</t>
  </si>
  <si>
    <t>Frågor om mig i skolan</t>
  </si>
  <si>
    <t>Medel av F7</t>
  </si>
  <si>
    <t>Barn- och utbildningsförvaltningens enkät till</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</si>
  <si>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</si>
  <si>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Antal svarande</t>
  </si>
  <si>
    <t>Svarsfrekvens</t>
  </si>
  <si>
    <t>Skola</t>
  </si>
  <si>
    <t>Antal elever</t>
  </si>
  <si>
    <t xml:space="preserve"> </t>
  </si>
  <si>
    <t>Carlforsska gymnasiet</t>
  </si>
  <si>
    <t>Edströmska</t>
  </si>
  <si>
    <t>Tranellska gymnasiet</t>
  </si>
  <si>
    <t>F2</t>
  </si>
  <si>
    <t>Antal av F2</t>
  </si>
  <si>
    <t xml:space="preserve">  </t>
  </si>
  <si>
    <t>Min lärare hjälper mig om jag tycker något är svårt</t>
  </si>
  <si>
    <t>Jag får svårare uppgifter om jag vill</t>
  </si>
  <si>
    <t>I min skola finns det elever som jag är rädd för</t>
  </si>
  <si>
    <t>I min skola finns det personal som jag är rädd för</t>
  </si>
  <si>
    <t>Jag kan gå och prata med skolsköterska eller kurator om vad jag vill</t>
  </si>
  <si>
    <t>Jag är nöjd med min skola</t>
  </si>
  <si>
    <t>Antal av F9</t>
  </si>
  <si>
    <t>Medel av F9</t>
  </si>
  <si>
    <t>Antal av F7</t>
  </si>
  <si>
    <t>Antal av F22</t>
  </si>
  <si>
    <t>Antal av F23</t>
  </si>
  <si>
    <t>Antal av F24</t>
  </si>
  <si>
    <t>Antal av F27</t>
  </si>
  <si>
    <t>Medel av F27</t>
  </si>
  <si>
    <t>Medel av F24</t>
  </si>
  <si>
    <t>Medel av F23</t>
  </si>
  <si>
    <t>Medel av F22</t>
  </si>
  <si>
    <t xml:space="preserve">Jag kan gå och prata med skolsköterska eller kurator om vad jag vill </t>
  </si>
  <si>
    <t>(Alla)</t>
  </si>
  <si>
    <t>Hahrska gymnasiet</t>
  </si>
  <si>
    <t>Jag säger till andra att min skola är bra</t>
  </si>
  <si>
    <t>Svarsskalan går från 1 - "Stämmer inte alls" till 4 - "Stämmer helt och hållet"</t>
  </si>
  <si>
    <r>
      <t>1</t>
    </r>
    <r>
      <rPr>
        <sz val="8"/>
        <color theme="1"/>
        <rFont val="Arial"/>
        <family val="2"/>
      </rPr>
      <t xml:space="preserve"> (stämmer inte alls)</t>
    </r>
  </si>
  <si>
    <r>
      <t>4</t>
    </r>
    <r>
      <rPr>
        <sz val="8"/>
        <color theme="1"/>
        <rFont val="Arial"/>
        <family val="2"/>
      </rPr>
      <t xml:space="preserve"> (stämmer helt och hållet)</t>
    </r>
  </si>
  <si>
    <t>Lidmanska</t>
  </si>
  <si>
    <t>Antal av F34</t>
  </si>
  <si>
    <t>Antal av F35</t>
  </si>
  <si>
    <t>Medel av F34</t>
  </si>
  <si>
    <t>Medel av F35</t>
  </si>
  <si>
    <t>Carlforsskas Ekonomi- och handelsskola</t>
  </si>
  <si>
    <t>elever i gymnasiesärskolan i Västerås</t>
  </si>
  <si>
    <t>Mina lärare vet vad jag ska lära mig</t>
  </si>
  <si>
    <t>När jag vill lära mig mer får jag nya uppgifter</t>
  </si>
  <si>
    <t>Jag får lära mig på olika sätt exempelvis läsa, lyssna, se film, skriva</t>
  </si>
  <si>
    <t>Vi brukar prata om hur vi ska bemöta varandra</t>
  </si>
  <si>
    <t>Ingen i skolan gör skillnad på tjejer och killar</t>
  </si>
  <si>
    <t>Toaletterna är rena och fina</t>
  </si>
  <si>
    <t>(Ny fråga 2019)</t>
  </si>
  <si>
    <t>Jag väljer att äta mig mätt i skolan</t>
  </si>
  <si>
    <t>Jag får vara med och välja vad vi ska göra på lektionerna</t>
  </si>
  <si>
    <t>På lektionerna pratar vi om sådant som vi hört och läst</t>
  </si>
  <si>
    <t>I skolan pratar vi om att alla är lika mycket värda</t>
  </si>
  <si>
    <t>Jag känner att jag lyckas i skolan</t>
  </si>
  <si>
    <t xml:space="preserve">I min skola är vi snälla och lyssnar på varandra </t>
  </si>
  <si>
    <t xml:space="preserve">I min skola är eleverna med och bestämmer trivselregler </t>
  </si>
  <si>
    <t>Mina lärare säger ifrån om någon behandlas illa eller blir kränkt</t>
  </si>
  <si>
    <t xml:space="preserve">Det är lugnt i klassrummet </t>
  </si>
  <si>
    <t xml:space="preserve">Jag vet vem på skolan jag kan prata med om någon varit elak </t>
  </si>
  <si>
    <t>Maten på min skola är bra, sett till näringsinnehåll, utseende, smak och klimat- och miljöperspektiv</t>
  </si>
  <si>
    <t xml:space="preserve">Skolrestaurangen har en miljö som är trivsam att vara i </t>
  </si>
  <si>
    <t xml:space="preserve">De som jobbar i skolrestaurangen är trevliga och serviceinriktade </t>
  </si>
  <si>
    <t>De som jobbar i skolrestaurangen är trevliga och serviceinriktade</t>
  </si>
  <si>
    <t xml:space="preserve">Jag får veta vad man kan göra efter studenten </t>
  </si>
  <si>
    <t>(tom)</t>
  </si>
  <si>
    <t>Antal av Mina lärare vet vad jag ska lära mig</t>
  </si>
  <si>
    <t>Medel av Mina lärare vet vad jag ska lära mig</t>
  </si>
  <si>
    <t>Antal av När jag vill lära mig mer får jag nya uppgifter</t>
  </si>
  <si>
    <t>Medel av När jag vill lära mig mer får jag nya uppgifter</t>
  </si>
  <si>
    <t>Antal av Jag får lära mig på olika sätt exempelvis läsa, lyssna, se film, skriva</t>
  </si>
  <si>
    <t>Medel av Jag får lära mig på olika sätt exempelvis läsa, lyssna, se film, skriva</t>
  </si>
  <si>
    <t>Antal av Jag känner att jag lyckas i skolan</t>
  </si>
  <si>
    <t>Medel av Jag känner att jag lyckas i skolan</t>
  </si>
  <si>
    <t>Antal av På lektionerna pratar vi om sådant som vi hört och läst</t>
  </si>
  <si>
    <t>Medel av På lektionerna pratar vi om sådant som vi hört och läst</t>
  </si>
  <si>
    <t xml:space="preserve">Antal av I skolan pratar vi om att alla är lika mycket värda </t>
  </si>
  <si>
    <t xml:space="preserve">Medel av I skolan pratar vi om att alla är lika mycket värda </t>
  </si>
  <si>
    <t>Antal av Vi brukar prata om hur vi ska bemöta varandra</t>
  </si>
  <si>
    <t>Medel av Vi brukar prata om hur vi ska bemöta varandra</t>
  </si>
  <si>
    <t>Antal av Ingen i skolan gör skillnad på tjejer eller killar</t>
  </si>
  <si>
    <t>Medel av Ingen i skolan gör skillnad på tjejer eller killar</t>
  </si>
  <si>
    <t>Antal av I min skola är vi snälla och lyssnar på varandra</t>
  </si>
  <si>
    <t>Medel av I min skola är vi snälla och lyssnar på varandra</t>
  </si>
  <si>
    <t>Antal av Jag får vara med och välja vad vi ska göra på lektionerna2</t>
  </si>
  <si>
    <t>Medel av Jag får vara med och välja vad vi ska göra på lektionerna2</t>
  </si>
  <si>
    <t>Antal av I min skola är eleverna med och bestämmer trivselregler</t>
  </si>
  <si>
    <t>Medel av I min skola är eleverna med och bestämmer trivselregler</t>
  </si>
  <si>
    <t>Antal av Mina lärare säger ifrån om någon behandlas illa eller blir kränkt2</t>
  </si>
  <si>
    <t>Medel av Mina lärare säger ifrån om någon behandlas illa eller blir kränkt2</t>
  </si>
  <si>
    <t xml:space="preserve">Antal av Det är lugnt i klassrummet </t>
  </si>
  <si>
    <t xml:space="preserve">Medel av Det är lugnt i klassrummet </t>
  </si>
  <si>
    <t xml:space="preserve">Antal av Jag vet vem på skolan jag kan prata med om någon varit elak </t>
  </si>
  <si>
    <t xml:space="preserve">Medel av Jag vet vem på skolan jag kan prata med om någon varit elak </t>
  </si>
  <si>
    <t>Antal av Maten på min skola är bra, sett till näringsinnehåll, utseende, smak och klimat- och miljöperspektiv</t>
  </si>
  <si>
    <t>Medel av Maten på min skola är bra, sett till näringsinnehåll, utseende, smak och klimat- och miljöperspektiv</t>
  </si>
  <si>
    <t>Antal av Jag väljer att äta mig mätt i skolan</t>
  </si>
  <si>
    <t>Medel av Jag väljer att äta mig mätt i skolan</t>
  </si>
  <si>
    <t xml:space="preserve">Antal av Skolrestaurangen har en miljö som är trivsam att vara i </t>
  </si>
  <si>
    <t xml:space="preserve">Medel av Skolrestaurangen har en miljö som är trivsam att vara i </t>
  </si>
  <si>
    <t>Antal av De som jobbar i skolrestaurangen är trevliga och serviceinriktade</t>
  </si>
  <si>
    <t>Medel av De som jobbar i skolrestaurangen är trevliga och serviceinriktade</t>
  </si>
  <si>
    <t>Antal av Toaletterna är rena och fina</t>
  </si>
  <si>
    <t>Medel av Toaletterna är rena och fina</t>
  </si>
  <si>
    <t xml:space="preserve">Antal av Jag får veta vad man kan göra efter studenten </t>
  </si>
  <si>
    <t xml:space="preserve">Medel av Jag får veta vad man kan göra efter studenten </t>
  </si>
  <si>
    <t>Skolrestaurangen har en miljö som är trivsam att vara i</t>
  </si>
  <si>
    <t>Jag får veta vad man kan göra efter studenten</t>
  </si>
  <si>
    <t>Antal av Kön</t>
  </si>
  <si>
    <t>Flicka</t>
  </si>
  <si>
    <t>Pojke</t>
  </si>
  <si>
    <t>Annat/vill inte svara</t>
  </si>
  <si>
    <t>Summa elever</t>
  </si>
  <si>
    <t>Rensa filtrering för att ta fram antal svar per skola</t>
  </si>
  <si>
    <t xml:space="preserve">Tips från coachen. Ctrl + nya kolumner i pivotbladet för att tabellen ska få plats med ett år till. </t>
  </si>
  <si>
    <t>Även ctrl+ en ny kolumn efter 2019. Kopiera formlerna från 2019 till 2020 och ta sök-ersätt från 2019 till 2020 så går det asfort att uppdatera tabellerna!</t>
  </si>
  <si>
    <t>-</t>
  </si>
  <si>
    <t>Radetiketter</t>
  </si>
  <si>
    <t>Kolumnetiketter</t>
  </si>
  <si>
    <t>mina lärare hjälper om svårt</t>
  </si>
  <si>
    <t>jag får svårare uppg om jag vill</t>
  </si>
  <si>
    <t>elever jag är rädd för</t>
  </si>
  <si>
    <t>personal jag är rädd för</t>
  </si>
  <si>
    <t>trygg i skolan</t>
  </si>
  <si>
    <t>kan prata med skolsköterska om jag vill</t>
  </si>
  <si>
    <t>I min skola finns det elever som jag är rädd för (obs, ett högt resultat är bra)</t>
  </si>
  <si>
    <t>I min skola finns det personal som jag är rädd för (obs, ett högt resultat är bra)</t>
  </si>
  <si>
    <t>Totalt flickor</t>
  </si>
  <si>
    <t>Totalt pojkar</t>
  </si>
  <si>
    <t>Edströmska gymnasiet</t>
  </si>
  <si>
    <t>Lidmanska gymnasiet</t>
  </si>
  <si>
    <t>Carlforsska Gymnasiet</t>
  </si>
  <si>
    <t>Hahrska Gymnasiet</t>
  </si>
  <si>
    <t>Lidmanska Gymnasiet</t>
  </si>
  <si>
    <t>Tranellska Gymnasiet</t>
  </si>
  <si>
    <t>Hur ofta brukar du vara med kompisar efter skolan och på helger</t>
  </si>
  <si>
    <t>Har du någon regelbunden aktivitet på din fritid</t>
  </si>
  <si>
    <t>Kan du prata med någon av dina föräldrar om du har problem eller oro</t>
  </si>
  <si>
    <t>Hur ser du på din framtid</t>
  </si>
  <si>
    <t>Frågeställning i 2022 års enkät</t>
  </si>
  <si>
    <t>Vid färre svar än fem lämnas inga resultat</t>
  </si>
  <si>
    <t>Vid färre svar än 5 lämnas inget resultat</t>
  </si>
  <si>
    <t>Enheter med färre än fem svarande särredovisas inte av sekretesskäl. Dessa svar ingår dock i de totala resultaten.</t>
  </si>
  <si>
    <t>Systemet kräver Excel 2010 för att fungera. I äldre versioner syns inte knapparna.</t>
  </si>
  <si>
    <t>Överblick resultat medelvärden (0-10) per skola 2022</t>
  </si>
  <si>
    <t>På den här sidan visas respektive skolas medelvärde per fråga för de frågor som ingick i 2022 års enkät. Välj skola och/eller kön genom att klicka på filterknapparna till höger</t>
  </si>
  <si>
    <t>På den här sidan visas medelvärde per fråga för de skolor som deltagit i 2023 års skolenkät. Svarsskalan är 0-10</t>
  </si>
  <si>
    <t>År 2023</t>
  </si>
  <si>
    <t>Antal av Hur ofta brukar du vara med kompisar efter skolan och på helger</t>
  </si>
  <si>
    <t>Medel av Hur ofta brukar du vara med kompisar efter skolan och på helger</t>
  </si>
  <si>
    <t>Antal av Har du någon regelbunden aktivitet på din fritid</t>
  </si>
  <si>
    <t>Medel av Har du någon regelbunden aktivitet på din fritid</t>
  </si>
  <si>
    <t>Antal av Kan du prata med någon av dina föräldrar om du har problem eller oro</t>
  </si>
  <si>
    <t>Medel av Kan du prata med någon av dina föräldrar om du har problem eller oro</t>
  </si>
  <si>
    <t>Antal av Hur ser du på din framtid</t>
  </si>
  <si>
    <t>Medel av Hur ser du på din framtid</t>
  </si>
  <si>
    <r>
      <t>1</t>
    </r>
    <r>
      <rPr>
        <sz val="8"/>
        <color theme="1"/>
        <rFont val="Arial"/>
        <family val="2"/>
      </rPr>
      <t xml:space="preserve"> (flera dagar i veckan )</t>
    </r>
  </si>
  <si>
    <r>
      <t>3 (v</t>
    </r>
    <r>
      <rPr>
        <sz val="8"/>
        <color theme="1"/>
        <rFont val="Arial"/>
        <family val="2"/>
      </rPr>
      <t>arannan vecka eller mer sällan)</t>
    </r>
  </si>
  <si>
    <r>
      <t>1</t>
    </r>
    <r>
      <rPr>
        <sz val="8"/>
        <color theme="1"/>
        <rFont val="Arial"/>
        <family val="2"/>
      </rPr>
      <t xml:space="preserve"> (ja)</t>
    </r>
  </si>
  <si>
    <t>2 (nej)</t>
  </si>
  <si>
    <r>
      <t>1</t>
    </r>
    <r>
      <rPr>
        <sz val="8"/>
        <color theme="1"/>
        <rFont val="Arial"/>
        <family val="2"/>
      </rPr>
      <t xml:space="preserve"> (oftast)</t>
    </r>
  </si>
  <si>
    <t>3 (sällan)</t>
  </si>
  <si>
    <r>
      <t>1</t>
    </r>
    <r>
      <rPr>
        <sz val="8"/>
        <color theme="1"/>
        <rFont val="Arial"/>
        <family val="2"/>
      </rPr>
      <t xml:space="preserve"> (jag är säker på att det blir bra)</t>
    </r>
  </si>
  <si>
    <t>3 (jag är orolig för hur det kommer att gå)</t>
  </si>
  <si>
    <t>Välj vilken verksamhet du vill visa resultaten för</t>
  </si>
  <si>
    <t>Om en enhet saknas i resultatredovisningen</t>
  </si>
  <si>
    <t xml:space="preserve">För frågor om undersökningen kontakta barn- och utbildningsförvaltningen </t>
  </si>
  <si>
    <t xml:space="preserve">Sara Drew, tillförordnad verksamhetschef, sara.drew@vasteras.se   </t>
  </si>
  <si>
    <t>Maria Lundquist, handläggare, maria.lundquist@vasteras.se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</si>
</sst>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0.0"/>
  </numFmts>
  <fonts count="63" x14ac:knownFonts="1">
    <font>
      <sz val="11"/>
      <color theme="1"/>
      <name val="Calibri"/>
      <family val="2"/>
      <scheme val="minor"/>
    </font>
    <font>
      <sz val="10"/>
      <color theme="1"/>
      <name val="Arial"/>
      <family val="2"/>
    </font>
    <font>
      <sz val="11"/>
      <color theme="1"/>
      <name val="Calibri"/>
      <family val="2"/>
      <scheme val="minor"/>
    </font>
    <font>
      <b/>
      <sz val="13"/>
      <color theme="8" tint="-0.499984740745262"/>
      <name val="Arial"/>
      <family val="2"/>
    </font>
    <font>
      <b/>
      <sz val="9"/>
      <color theme="1"/>
      <name val="Arial"/>
      <family val="2"/>
    </font>
    <font>
      <b/>
      <sz val="14"/>
      <color theme="0"/>
      <name val="Arial"/>
      <family val="2"/>
    </font>
    <font>
      <sz val="9"/>
      <color theme="0"/>
      <name val="Arial"/>
      <family val="2"/>
    </font>
    <font>
      <sz val="8"/>
      <color theme="1"/>
      <name val="Arial"/>
      <family val="2"/>
    </font>
    <font>
      <b/>
      <sz val="12"/>
      <color rgb="FF00B0F0"/>
      <name val="Arial"/>
      <family val="2"/>
    </font>
    <font>
      <b/>
      <u/>
      <sz val="9"/>
      <color theme="1" tint="0.249977111117893"/>
      <name val="Arial"/>
      <family val="2"/>
    </font>
    <font>
      <u/>
      <sz val="11"/>
      <color theme="10"/>
      <name val="Calibri"/>
      <family val="2"/>
      <scheme val="minor"/>
    </font>
    <font>
      <sz val="10"/>
      <color rgb="FFFF0000"/>
      <name val="Arial"/>
      <family val="2"/>
    </font>
    <font>
      <sz val="10"/>
      <name val="Arial"/>
      <family val="2"/>
    </font>
    <font>
      <sz val="8"/>
      <name val="Arial"/>
      <family val="2"/>
    </font>
    <font>
      <sz val="11"/>
      <color theme="8" tint="-0.499984740745262"/>
      <name val="Arial"/>
      <family val="2"/>
    </font>
    <font>
      <b/>
      <sz val="10"/>
      <color theme="8" tint="-0.499984740745262"/>
      <name val="Arial"/>
      <family val="2"/>
    </font>
    <font>
      <b/>
      <sz val="10"/>
      <color theme="0"/>
      <name val="Arial"/>
      <family val="2"/>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sz val="10"/>
      <color theme="1"/>
      <name val="Calibri"/>
      <family val="2"/>
      <scheme val="minor"/>
    </font>
    <font>
      <i/>
      <sz val="8"/>
      <color theme="1"/>
      <name val="Arial"/>
      <family val="2"/>
    </font>
    <font>
      <b/>
      <sz val="8"/>
      <name val="Arial"/>
      <family val="2"/>
    </font>
    <font>
      <sz val="9"/>
      <color theme="8" tint="-0.499984740745262"/>
      <name val="Arial"/>
      <family val="2"/>
    </font>
    <font>
      <sz val="12"/>
      <color theme="1"/>
      <name val="Calibri"/>
      <family val="2"/>
      <scheme val="minor"/>
    </font>
    <font>
      <sz val="11"/>
      <color theme="1"/>
      <name val="Arial"/>
      <family val="2"/>
    </font>
    <font>
      <sz val="11"/>
      <name val="Arial"/>
      <family val="2"/>
    </font>
    <font>
      <i/>
      <sz val="10"/>
      <color theme="1"/>
      <name val="Calibri"/>
      <family val="2"/>
      <scheme val="minor"/>
    </font>
    <font>
      <sz val="11"/>
      <name val="Calibri"/>
      <family val="2"/>
      <scheme val="minor"/>
    </font>
    <font>
      <b/>
      <sz val="12"/>
      <color theme="9" tint="-0.249977111117893"/>
      <name val="Arial"/>
      <family val="2"/>
    </font>
    <font>
      <b/>
      <sz val="11"/>
      <color theme="9" tint="-0.249977111117893"/>
      <name val="Arial"/>
      <family val="2"/>
    </font>
    <font>
      <i/>
      <sz val="11"/>
      <color theme="1"/>
      <name val="Calibri"/>
      <family val="2"/>
      <scheme val="minor"/>
    </font>
    <font>
      <sz val="8"/>
      <color rgb="FF4E586A"/>
      <name val="Segoe UI"/>
      <family val="2"/>
    </font>
    <font>
      <i/>
      <sz val="10"/>
      <color theme="8" tint="-0.499984740745262"/>
      <name val="Arial"/>
      <family val="2"/>
    </font>
    <font>
      <u/>
      <sz val="11"/>
      <color rgb="FFFF0000"/>
      <name val="Calibri"/>
      <family val="2"/>
      <scheme val="minor"/>
    </font>
    <font>
      <u/>
      <sz val="11"/>
      <color rgb="FFC00000"/>
      <name val="Calibri"/>
      <family val="2"/>
      <scheme val="minor"/>
    </font>
    <font>
      <sz val="10"/>
      <color rgb="FFC00000"/>
      <name val="Segoe UI"/>
      <family val="2"/>
    </font>
    <font>
      <sz val="11"/>
      <color rgb="FFC00000"/>
      <name val="Calibri"/>
      <family val="2"/>
      <scheme val="minor"/>
    </font>
    <font>
      <sz val="10"/>
      <color theme="0"/>
      <name val="Arial"/>
      <family val="2"/>
    </font>
    <font>
      <sz val="10"/>
      <color theme="8" tint="0.79998168889431442"/>
      <name val="Arial"/>
      <family val="2"/>
    </font>
    <font>
      <b/>
      <sz val="12"/>
      <color theme="8" tint="-0.499984740745262"/>
      <name val="Calibri"/>
      <family val="2"/>
      <scheme val="minor"/>
    </font>
    <font>
      <sz val="16"/>
      <color theme="8" tint="-0.499984740745262"/>
      <name val="Calibri"/>
      <family val="2"/>
      <scheme val="minor"/>
    </font>
    <font>
      <b/>
      <sz val="12"/>
      <color theme="8" tint="-0.249977111117893"/>
      <name val="Arial"/>
      <family val="2"/>
    </font>
    <font>
      <b/>
      <sz val="16"/>
      <color theme="0"/>
      <name val="Calibri"/>
      <family val="2"/>
      <scheme val="minor"/>
    </font>
    <font>
      <i/>
      <sz val="11"/>
      <color theme="8" tint="-0.499984740745262"/>
      <name val="Calibri"/>
      <family val="2"/>
      <scheme val="minor"/>
    </font>
    <font>
      <i/>
      <sz val="11"/>
      <color theme="0"/>
      <name val="Calibri"/>
      <family val="2"/>
      <scheme val="minor"/>
    </font>
    <font>
      <b/>
      <sz val="10"/>
      <name val="Arial"/>
      <family val="2"/>
    </font>
    <font>
      <sz val="12"/>
      <color theme="8" tint="-0.499984740745262"/>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8" tint="-0.249977111117893"/>
        <bgColor indexed="64"/>
      </patternFill>
    </fill>
  </fills>
  <borders count="35">
    <border>
      <left/>
      <right/>
      <top/>
      <bottom/>
      <diagonal/>
    </border>
    <border>
      <left/>
      <right/>
      <top/>
      <bottom style="thin">
        <color rgb="FF66CCFF"/>
      </bottom>
      <diagonal/>
    </border>
    <border>
      <left/>
      <right/>
      <top style="thin">
        <color rgb="FF66CCFF"/>
      </top>
      <bottom style="thin">
        <color rgb="FF66CCFF"/>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theme="8" tint="0.59996337778862885"/>
      </top>
      <bottom style="thin">
        <color theme="8" tint="0.5999633777886288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8" tint="0.39994506668294322"/>
      </top>
      <bottom style="thin">
        <color theme="8" tint="0.39994506668294322"/>
      </bottom>
      <diagonal/>
    </border>
    <border>
      <left/>
      <right/>
      <top style="thin">
        <color theme="8" tint="0.39994506668294322"/>
      </top>
      <bottom style="thin">
        <color rgb="FF66CCFF"/>
      </bottom>
      <diagonal/>
    </border>
    <border>
      <left/>
      <right/>
      <top style="thin">
        <color theme="4" tint="0.39997558519241921"/>
      </top>
      <bottom style="thin">
        <color theme="4" tint="0.39997558519241921"/>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top style="medium">
        <color theme="4" tint="0.39997558519241921"/>
      </top>
      <bottom style="thin">
        <color theme="4" tint="0.39994506668294322"/>
      </bottom>
      <diagonal/>
    </border>
    <border>
      <left style="thin">
        <color theme="4" tint="0.39991454817346722"/>
      </left>
      <right/>
      <top style="thin">
        <color theme="4" tint="0.39991454817346722"/>
      </top>
      <bottom style="thin">
        <color theme="4" tint="0.39988402966399123"/>
      </bottom>
      <diagonal/>
    </border>
    <border>
      <left/>
      <right/>
      <top style="thin">
        <color theme="4" tint="0.39991454817346722"/>
      </top>
      <bottom style="thin">
        <color theme="4" tint="0.39988402966399123"/>
      </bottom>
      <diagonal/>
    </border>
    <border>
      <left/>
      <right style="thin">
        <color theme="4" tint="0.39991454817346722"/>
      </right>
      <top style="thin">
        <color theme="4" tint="0.39991454817346722"/>
      </top>
      <bottom style="thin">
        <color theme="4" tint="0.39988402966399123"/>
      </bottom>
      <diagonal/>
    </border>
    <border>
      <left style="thin">
        <color theme="4" tint="0.39991454817346722"/>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91454817346722"/>
      </right>
      <top style="thin">
        <color theme="4" tint="0.39988402966399123"/>
      </top>
      <bottom style="thin">
        <color theme="4" tint="0.39988402966399123"/>
      </bottom>
      <diagonal/>
    </border>
    <border>
      <left style="thin">
        <color theme="4" tint="0.39991454817346722"/>
      </left>
      <right/>
      <top style="thin">
        <color theme="4" tint="0.39988402966399123"/>
      </top>
      <bottom style="thin">
        <color theme="4" tint="0.39994506668294322"/>
      </bottom>
      <diagonal/>
    </border>
    <border>
      <left/>
      <right/>
      <top style="thin">
        <color theme="4" tint="0.39988402966399123"/>
      </top>
      <bottom style="thin">
        <color theme="4" tint="0.39994506668294322"/>
      </bottom>
      <diagonal/>
    </border>
    <border>
      <left/>
      <right style="thin">
        <color theme="4" tint="0.39991454817346722"/>
      </right>
      <top style="thin">
        <color theme="4" tint="0.39988402966399123"/>
      </top>
      <bottom style="thin">
        <color theme="4" tint="0.39994506668294322"/>
      </bottom>
      <diagonal/>
    </border>
    <border>
      <left/>
      <right style="thin">
        <color theme="4" tint="0.39991454817346722"/>
      </right>
      <top/>
      <bottom style="medium">
        <color theme="4" tint="0.39997558519241921"/>
      </bottom>
      <diagonal/>
    </border>
  </borders>
  <cellStyleXfs count="51">
    <xf numFmtId="0" fontId="0" fillId="0" borderId="0"/>
    <xf numFmtId="9" fontId="2" fillId="0" borderId="0" applyFon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2"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3" fillId="35" borderId="0" applyNumberFormat="0" applyBorder="0" applyAlignment="0" applyProtection="0"/>
    <xf numFmtId="0" fontId="12" fillId="0" borderId="0"/>
    <xf numFmtId="9"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1" fillId="0" borderId="0"/>
  </cellStyleXfs>
  <cellXfs count="191">
    <xf numFmtId="0" fontId="0" fillId="0" borderId="0" xfId="0"/>
    <xf numFmtId="0" fontId="0" fillId="0" borderId="0" xfId="0" pivotButton="1"/>
    <xf numFmtId="0" fontId="0" fillId="0" borderId="0" xfId="0" applyAlignment="1">
      <alignment horizontal="left"/>
    </xf>
    <xf numFmtId="2" fontId="0" fillId="0" borderId="0" xfId="0" applyNumberFormat="1"/>
    <xf numFmtId="9" fontId="0" fillId="0" borderId="0" xfId="0" applyNumberFormat="1"/>
    <xf numFmtId="2" fontId="0" fillId="0" borderId="0" xfId="0" pivotButton="1" applyNumberFormat="1"/>
    <xf numFmtId="10" fontId="0" fillId="0" borderId="0" xfId="0" applyNumberFormat="1"/>
    <xf numFmtId="0" fontId="34" fillId="0" borderId="0" xfId="0" applyFont="1"/>
    <xf numFmtId="0" fontId="0" fillId="0" borderId="0" xfId="0" applyProtection="1">
      <protection hidden="1"/>
    </xf>
    <xf numFmtId="0" fontId="1" fillId="2" borderId="0" xfId="0" applyFont="1" applyFill="1" applyAlignment="1" applyProtection="1">
      <alignment horizontal="right"/>
      <protection hidden="1"/>
    </xf>
    <xf numFmtId="0" fontId="1" fillId="2" borderId="0" xfId="0" applyFont="1" applyFill="1" applyProtection="1">
      <protection hidden="1"/>
    </xf>
    <xf numFmtId="0" fontId="38" fillId="2" borderId="0" xfId="0" applyFont="1" applyFill="1" applyProtection="1">
      <protection hidden="1"/>
    </xf>
    <xf numFmtId="0" fontId="30" fillId="0" borderId="0" xfId="0" applyFont="1"/>
    <xf numFmtId="166" fontId="0" fillId="0" borderId="0" xfId="0" applyNumberFormat="1"/>
    <xf numFmtId="0" fontId="3" fillId="2" borderId="0" xfId="0" applyFont="1" applyFill="1" applyProtection="1">
      <protection hidden="1"/>
    </xf>
    <xf numFmtId="0" fontId="4" fillId="2" borderId="0" xfId="0" applyFont="1" applyFill="1" applyProtection="1">
      <protection hidden="1"/>
    </xf>
    <xf numFmtId="0" fontId="1" fillId="2" borderId="0" xfId="0" applyFont="1" applyFill="1" applyAlignment="1" applyProtection="1">
      <alignment horizontal="left"/>
      <protection hidden="1"/>
    </xf>
    <xf numFmtId="0" fontId="1" fillId="0" borderId="0" xfId="0" applyFont="1" applyProtection="1">
      <protection hidden="1"/>
    </xf>
    <xf numFmtId="0" fontId="1" fillId="0" borderId="0" xfId="0" applyFont="1" applyAlignment="1" applyProtection="1">
      <alignment horizontal="right"/>
      <protection hidden="1"/>
    </xf>
    <xf numFmtId="0" fontId="9" fillId="2" borderId="0" xfId="2" applyFont="1" applyFill="1" applyAlignment="1" applyProtection="1">
      <alignment horizontal="left"/>
      <protection hidden="1"/>
    </xf>
    <xf numFmtId="0" fontId="14" fillId="2" borderId="0" xfId="0" applyFont="1" applyFill="1" applyAlignment="1" applyProtection="1">
      <alignment wrapText="1"/>
      <protection hidden="1"/>
    </xf>
    <xf numFmtId="0" fontId="14" fillId="2" borderId="0" xfId="0" applyFont="1" applyFill="1" applyProtection="1">
      <protection hidden="1"/>
    </xf>
    <xf numFmtId="0" fontId="11" fillId="2" borderId="0" xfId="0" applyFont="1" applyFill="1" applyProtection="1">
      <protection hidden="1"/>
    </xf>
    <xf numFmtId="0" fontId="30" fillId="0" borderId="0" xfId="0" applyFont="1" applyProtection="1">
      <protection hidden="1"/>
    </xf>
    <xf numFmtId="0" fontId="14" fillId="0" borderId="0" xfId="0" applyFont="1" applyProtection="1">
      <protection hidden="1"/>
    </xf>
    <xf numFmtId="0" fontId="15" fillId="2" borderId="0" xfId="0" applyFont="1" applyFill="1" applyProtection="1">
      <protection hidden="1"/>
    </xf>
    <xf numFmtId="0" fontId="15" fillId="2" borderId="0" xfId="0" applyFont="1" applyFill="1" applyAlignment="1" applyProtection="1">
      <alignment horizontal="right"/>
      <protection hidden="1"/>
    </xf>
    <xf numFmtId="0" fontId="8" fillId="2" borderId="0" xfId="0" applyFont="1" applyFill="1" applyProtection="1">
      <protection hidden="1"/>
    </xf>
    <xf numFmtId="0" fontId="34" fillId="2" borderId="0" xfId="0" applyFont="1" applyFill="1" applyProtection="1">
      <protection hidden="1"/>
    </xf>
    <xf numFmtId="0" fontId="1" fillId="2" borderId="1" xfId="0" applyFont="1" applyFill="1" applyBorder="1" applyProtection="1">
      <protection hidden="1"/>
    </xf>
    <xf numFmtId="0" fontId="1" fillId="0" borderId="1" xfId="0" applyFont="1" applyBorder="1" applyAlignment="1" applyProtection="1">
      <alignment horizontal="right"/>
      <protection hidden="1"/>
    </xf>
    <xf numFmtId="0" fontId="1" fillId="3" borderId="1" xfId="0" applyFont="1" applyFill="1" applyBorder="1" applyAlignment="1" applyProtection="1">
      <alignment horizontal="right"/>
      <protection hidden="1"/>
    </xf>
    <xf numFmtId="0" fontId="1" fillId="2" borderId="2" xfId="0" applyFont="1" applyFill="1" applyBorder="1" applyProtection="1">
      <protection hidden="1"/>
    </xf>
    <xf numFmtId="9" fontId="1" fillId="0" borderId="2" xfId="1" applyFont="1" applyFill="1" applyBorder="1" applyAlignment="1" applyProtection="1">
      <alignment horizontal="right"/>
      <protection hidden="1"/>
    </xf>
    <xf numFmtId="9" fontId="1" fillId="3" borderId="2" xfId="1" applyFont="1" applyFill="1" applyBorder="1" applyAlignment="1" applyProtection="1">
      <alignment horizontal="right"/>
      <protection hidden="1"/>
    </xf>
    <xf numFmtId="0" fontId="1" fillId="2" borderId="2" xfId="0" applyFont="1" applyFill="1" applyBorder="1" applyAlignment="1" applyProtection="1">
      <alignment horizontal="left"/>
      <protection hidden="1"/>
    </xf>
    <xf numFmtId="0" fontId="1" fillId="0" borderId="2" xfId="0" applyFont="1" applyBorder="1" applyAlignment="1" applyProtection="1">
      <alignment horizontal="right"/>
      <protection hidden="1"/>
    </xf>
    <xf numFmtId="0" fontId="1" fillId="3" borderId="2" xfId="1" applyNumberFormat="1" applyFont="1" applyFill="1" applyBorder="1" applyAlignment="1" applyProtection="1">
      <alignment horizontal="right"/>
      <protection hidden="1"/>
    </xf>
    <xf numFmtId="0" fontId="7" fillId="2" borderId="0" xfId="0" applyFont="1" applyFill="1" applyProtection="1">
      <protection hidden="1"/>
    </xf>
    <xf numFmtId="0" fontId="1" fillId="3" borderId="2" xfId="0" applyFont="1" applyFill="1" applyBorder="1" applyAlignment="1" applyProtection="1">
      <alignment horizontal="right"/>
      <protection hidden="1"/>
    </xf>
    <xf numFmtId="0" fontId="42" fillId="0" borderId="0" xfId="0" applyFont="1" applyProtection="1">
      <protection hidden="1"/>
    </xf>
    <xf numFmtId="0" fontId="46" fillId="0" borderId="0" xfId="0" applyFont="1" applyProtection="1">
      <protection hidden="1"/>
    </xf>
    <xf numFmtId="0" fontId="13" fillId="2" borderId="0" xfId="0" applyFont="1" applyFill="1" applyProtection="1">
      <protection hidden="1"/>
    </xf>
    <xf numFmtId="9" fontId="12" fillId="0" borderId="2" xfId="1" applyFont="1" applyFill="1" applyBorder="1" applyAlignment="1" applyProtection="1">
      <alignment horizontal="right"/>
      <protection hidden="1"/>
    </xf>
    <xf numFmtId="9" fontId="12" fillId="3" borderId="2" xfId="1" applyFont="1" applyFill="1" applyBorder="1" applyAlignment="1" applyProtection="1">
      <alignment horizontal="right"/>
      <protection hidden="1"/>
    </xf>
    <xf numFmtId="0" fontId="12" fillId="0" borderId="2" xfId="0" applyFont="1" applyBorder="1" applyAlignment="1" applyProtection="1">
      <alignment horizontal="right"/>
      <protection hidden="1"/>
    </xf>
    <xf numFmtId="0" fontId="12" fillId="3" borderId="2" xfId="0" applyFont="1" applyFill="1" applyBorder="1" applyAlignment="1" applyProtection="1">
      <alignment horizontal="right"/>
      <protection hidden="1"/>
    </xf>
    <xf numFmtId="0" fontId="11" fillId="0" borderId="0" xfId="0" applyFont="1" applyAlignment="1" applyProtection="1">
      <alignment horizontal="right"/>
      <protection hidden="1"/>
    </xf>
    <xf numFmtId="0" fontId="11" fillId="2" borderId="0" xfId="0" applyFont="1" applyFill="1" applyAlignment="1" applyProtection="1">
      <alignment horizontal="right"/>
      <protection hidden="1"/>
    </xf>
    <xf numFmtId="0" fontId="12" fillId="2" borderId="0" xfId="0" applyFont="1" applyFill="1" applyAlignment="1" applyProtection="1">
      <alignment horizontal="right"/>
      <protection hidden="1"/>
    </xf>
    <xf numFmtId="0" fontId="12" fillId="0" borderId="0" xfId="0" applyFont="1" applyAlignment="1" applyProtection="1">
      <alignment horizontal="right"/>
      <protection hidden="1"/>
    </xf>
    <xf numFmtId="0" fontId="17" fillId="0" borderId="0" xfId="0" applyFont="1" applyProtection="1">
      <protection hidden="1"/>
    </xf>
    <xf numFmtId="0" fontId="37" fillId="2" borderId="0" xfId="0" applyFont="1" applyFill="1" applyProtection="1">
      <protection hidden="1"/>
    </xf>
    <xf numFmtId="0" fontId="44" fillId="2" borderId="0" xfId="0" applyFont="1" applyFill="1" applyProtection="1">
      <protection hidden="1"/>
    </xf>
    <xf numFmtId="9" fontId="1" fillId="0" borderId="9" xfId="1" applyFont="1" applyFill="1" applyBorder="1" applyAlignment="1" applyProtection="1">
      <alignment horizontal="right"/>
      <protection hidden="1"/>
    </xf>
    <xf numFmtId="3" fontId="1" fillId="0" borderId="9" xfId="0" applyNumberFormat="1" applyFont="1" applyBorder="1" applyAlignment="1" applyProtection="1">
      <alignment horizontal="right"/>
      <protection hidden="1"/>
    </xf>
    <xf numFmtId="0" fontId="35" fillId="0" borderId="0" xfId="0" applyFont="1" applyProtection="1">
      <protection hidden="1"/>
    </xf>
    <xf numFmtId="0" fontId="45" fillId="2" borderId="0" xfId="0" applyFont="1" applyFill="1" applyProtection="1">
      <protection hidden="1"/>
    </xf>
    <xf numFmtId="0" fontId="40" fillId="0" borderId="0" xfId="0" applyFont="1" applyProtection="1">
      <protection hidden="1"/>
    </xf>
    <xf numFmtId="0" fontId="41" fillId="0" borderId="0" xfId="0" applyFont="1" applyProtection="1">
      <protection hidden="1"/>
    </xf>
    <xf numFmtId="0" fontId="7" fillId="0" borderId="0" xfId="0" applyFont="1" applyProtection="1">
      <protection hidden="1"/>
    </xf>
    <xf numFmtId="0" fontId="42" fillId="0" borderId="0" xfId="0" applyFont="1" applyAlignment="1" applyProtection="1">
      <alignment horizontal="center" vertical="center"/>
      <protection hidden="1"/>
    </xf>
    <xf numFmtId="3" fontId="1" fillId="0" borderId="0" xfId="0" applyNumberFormat="1" applyFont="1" applyAlignment="1" applyProtection="1">
      <alignment horizontal="right"/>
      <protection hidden="1"/>
    </xf>
    <xf numFmtId="0" fontId="36" fillId="0" borderId="0" xfId="0" applyFont="1" applyProtection="1">
      <protection hidden="1"/>
    </xf>
    <xf numFmtId="0" fontId="0" fillId="0" borderId="0" xfId="0" applyAlignment="1" applyProtection="1">
      <alignment vertical="top"/>
      <protection hidden="1"/>
    </xf>
    <xf numFmtId="0" fontId="0" fillId="2" borderId="0" xfId="0" applyFill="1" applyProtection="1">
      <protection hidden="1"/>
    </xf>
    <xf numFmtId="0" fontId="0" fillId="2" borderId="8" xfId="0" applyFill="1" applyBorder="1" applyProtection="1">
      <protection hidden="1"/>
    </xf>
    <xf numFmtId="0" fontId="0" fillId="2" borderId="0" xfId="0" applyFill="1" applyAlignment="1" applyProtection="1">
      <alignment horizontal="center"/>
      <protection hidden="1"/>
    </xf>
    <xf numFmtId="0" fontId="0" fillId="2" borderId="5" xfId="0" applyFill="1" applyBorder="1" applyProtection="1">
      <protection hidden="1"/>
    </xf>
    <xf numFmtId="0" fontId="0" fillId="2" borderId="6" xfId="0" applyFill="1" applyBorder="1" applyAlignment="1" applyProtection="1">
      <alignment horizontal="center"/>
      <protection hidden="1"/>
    </xf>
    <xf numFmtId="9" fontId="0" fillId="4" borderId="7" xfId="1" applyFont="1" applyFill="1" applyBorder="1" applyAlignment="1" applyProtection="1">
      <alignment horizontal="center"/>
      <protection hidden="1"/>
    </xf>
    <xf numFmtId="0" fontId="1" fillId="2" borderId="19" xfId="0" applyFont="1" applyFill="1" applyBorder="1" applyProtection="1">
      <protection hidden="1"/>
    </xf>
    <xf numFmtId="9" fontId="1" fillId="0" borderId="19" xfId="1" applyFont="1" applyFill="1" applyBorder="1" applyAlignment="1" applyProtection="1">
      <alignment horizontal="right"/>
      <protection hidden="1"/>
    </xf>
    <xf numFmtId="9" fontId="1" fillId="2" borderId="19" xfId="1" applyFont="1" applyFill="1" applyBorder="1" applyAlignment="1" applyProtection="1">
      <alignment horizontal="right"/>
      <protection hidden="1"/>
    </xf>
    <xf numFmtId="0" fontId="1" fillId="2" borderId="19" xfId="0" applyFont="1" applyFill="1" applyBorder="1" applyAlignment="1" applyProtection="1">
      <alignment horizontal="left"/>
      <protection hidden="1"/>
    </xf>
    <xf numFmtId="0" fontId="1" fillId="0" borderId="19" xfId="0" applyFont="1" applyBorder="1" applyAlignment="1" applyProtection="1">
      <alignment horizontal="right"/>
      <protection hidden="1"/>
    </xf>
    <xf numFmtId="3" fontId="1" fillId="2" borderId="19" xfId="0" applyNumberFormat="1" applyFont="1" applyFill="1" applyBorder="1" applyAlignment="1" applyProtection="1">
      <alignment horizontal="right"/>
      <protection hidden="1"/>
    </xf>
    <xf numFmtId="0" fontId="1" fillId="2" borderId="20" xfId="0" applyFont="1" applyFill="1" applyBorder="1" applyProtection="1">
      <protection hidden="1"/>
    </xf>
    <xf numFmtId="9" fontId="1" fillId="0" borderId="20" xfId="1" applyFont="1" applyFill="1" applyBorder="1" applyAlignment="1" applyProtection="1">
      <alignment horizontal="right"/>
      <protection hidden="1"/>
    </xf>
    <xf numFmtId="9" fontId="1" fillId="2" borderId="2" xfId="1" applyFont="1" applyFill="1" applyBorder="1" applyAlignment="1" applyProtection="1">
      <alignment horizontal="right"/>
      <protection hidden="1"/>
    </xf>
    <xf numFmtId="3" fontId="1" fillId="0" borderId="19" xfId="0" applyNumberFormat="1" applyFont="1" applyBorder="1" applyAlignment="1" applyProtection="1">
      <alignment horizontal="right"/>
      <protection hidden="1"/>
    </xf>
    <xf numFmtId="9" fontId="12" fillId="0" borderId="19" xfId="1" applyFont="1" applyFill="1" applyBorder="1" applyAlignment="1" applyProtection="1">
      <alignment horizontal="right"/>
      <protection hidden="1"/>
    </xf>
    <xf numFmtId="3" fontId="12" fillId="0" borderId="19" xfId="0" applyNumberFormat="1" applyFont="1" applyBorder="1" applyAlignment="1" applyProtection="1">
      <alignment horizontal="right"/>
      <protection hidden="1"/>
    </xf>
    <xf numFmtId="0" fontId="0" fillId="0" borderId="0" xfId="0" applyAlignment="1">
      <alignment wrapText="1"/>
    </xf>
    <xf numFmtId="0" fontId="1" fillId="0" borderId="0" xfId="0" applyFont="1" applyAlignment="1">
      <alignment vertical="center"/>
    </xf>
    <xf numFmtId="0" fontId="47" fillId="0" borderId="0" xfId="0" applyFont="1" applyAlignment="1">
      <alignment vertical="center"/>
    </xf>
    <xf numFmtId="0" fontId="1" fillId="0" borderId="2" xfId="1" applyNumberFormat="1" applyFont="1" applyFill="1" applyBorder="1" applyAlignment="1" applyProtection="1">
      <alignment horizontal="right"/>
      <protection hidden="1"/>
    </xf>
    <xf numFmtId="3" fontId="1" fillId="0" borderId="2" xfId="0" applyNumberFormat="1" applyFont="1" applyBorder="1" applyAlignment="1" applyProtection="1">
      <alignment horizontal="right"/>
      <protection hidden="1"/>
    </xf>
    <xf numFmtId="0" fontId="39" fillId="0" borderId="0" xfId="0" applyFont="1" applyProtection="1">
      <protection hidden="1"/>
    </xf>
    <xf numFmtId="9" fontId="1" fillId="3" borderId="19" xfId="1" applyFont="1" applyFill="1" applyBorder="1" applyAlignment="1" applyProtection="1">
      <alignment horizontal="right"/>
      <protection hidden="1"/>
    </xf>
    <xf numFmtId="0" fontId="48" fillId="2" borderId="0" xfId="0" applyFont="1" applyFill="1" applyAlignment="1" applyProtection="1">
      <alignment horizontal="left" indent="2"/>
      <protection hidden="1"/>
    </xf>
    <xf numFmtId="0" fontId="0" fillId="0" borderId="0" xfId="0" applyAlignment="1" applyProtection="1">
      <alignment horizontal="right"/>
      <protection hidden="1"/>
    </xf>
    <xf numFmtId="0" fontId="1" fillId="2" borderId="2" xfId="0" applyFont="1" applyFill="1" applyBorder="1" applyAlignment="1" applyProtection="1">
      <alignment horizontal="right"/>
      <protection hidden="1"/>
    </xf>
    <xf numFmtId="0" fontId="1" fillId="2" borderId="1" xfId="0" applyFont="1" applyFill="1" applyBorder="1" applyAlignment="1" applyProtection="1">
      <alignment horizontal="right"/>
      <protection hidden="1"/>
    </xf>
    <xf numFmtId="0" fontId="17" fillId="2" borderId="0" xfId="0" applyFont="1" applyFill="1" applyAlignment="1" applyProtection="1">
      <alignment horizontal="right"/>
      <protection hidden="1"/>
    </xf>
    <xf numFmtId="9" fontId="0" fillId="0" borderId="0" xfId="1" applyFont="1" applyFill="1" applyBorder="1" applyAlignment="1" applyProtection="1">
      <alignment horizontal="center"/>
      <protection hidden="1"/>
    </xf>
    <xf numFmtId="0" fontId="49" fillId="0" borderId="0" xfId="0" applyFont="1" applyProtection="1">
      <protection hidden="1"/>
    </xf>
    <xf numFmtId="9" fontId="43" fillId="4" borderId="4" xfId="1" applyFont="1" applyFill="1" applyBorder="1" applyAlignment="1" applyProtection="1">
      <alignment horizontal="center"/>
      <protection hidden="1"/>
    </xf>
    <xf numFmtId="0" fontId="0" fillId="2" borderId="0" xfId="0" applyFill="1"/>
    <xf numFmtId="1" fontId="0" fillId="0" borderId="0" xfId="0" applyNumberFormat="1"/>
    <xf numFmtId="0" fontId="50" fillId="0" borderId="0" xfId="0" applyFont="1"/>
    <xf numFmtId="0" fontId="51" fillId="0" borderId="0" xfId="0" applyFont="1" applyAlignment="1">
      <alignment vertical="center"/>
    </xf>
    <xf numFmtId="0" fontId="52" fillId="0" borderId="0" xfId="0" applyFont="1"/>
    <xf numFmtId="0" fontId="53" fillId="2" borderId="2" xfId="0" applyFont="1" applyFill="1" applyBorder="1" applyProtection="1">
      <protection hidden="1"/>
    </xf>
    <xf numFmtId="166" fontId="53" fillId="0" borderId="2" xfId="0" applyNumberFormat="1" applyFont="1" applyBorder="1" applyAlignment="1" applyProtection="1">
      <alignment horizontal="right"/>
      <protection hidden="1"/>
    </xf>
    <xf numFmtId="166" fontId="53" fillId="0" borderId="2" xfId="1" applyNumberFormat="1" applyFont="1" applyFill="1" applyBorder="1" applyAlignment="1" applyProtection="1">
      <alignment horizontal="right"/>
      <protection hidden="1"/>
    </xf>
    <xf numFmtId="0" fontId="53" fillId="2" borderId="19" xfId="0" applyFont="1" applyFill="1" applyBorder="1" applyProtection="1">
      <protection hidden="1"/>
    </xf>
    <xf numFmtId="166" fontId="53" fillId="0" borderId="19" xfId="0" applyNumberFormat="1" applyFont="1" applyBorder="1" applyAlignment="1" applyProtection="1">
      <alignment horizontal="right"/>
      <protection hidden="1"/>
    </xf>
    <xf numFmtId="0" fontId="4" fillId="2" borderId="0" xfId="0" applyFont="1" applyFill="1" applyAlignment="1" applyProtection="1">
      <alignment horizontal="right"/>
      <protection hidden="1"/>
    </xf>
    <xf numFmtId="0" fontId="4" fillId="0" borderId="3" xfId="0" applyFont="1" applyBorder="1" applyAlignment="1" applyProtection="1">
      <alignment horizontal="center"/>
      <protection hidden="1"/>
    </xf>
    <xf numFmtId="0" fontId="0" fillId="36" borderId="21" xfId="0" applyFill="1" applyBorder="1"/>
    <xf numFmtId="0" fontId="0" fillId="0" borderId="21" xfId="0" applyBorder="1"/>
    <xf numFmtId="0" fontId="0" fillId="0" borderId="0" xfId="0" pivotButton="1" applyAlignment="1">
      <alignment wrapText="1"/>
    </xf>
    <xf numFmtId="0" fontId="0" fillId="0" borderId="0" xfId="0" applyAlignment="1">
      <alignment horizontal="left" wrapText="1"/>
    </xf>
    <xf numFmtId="0" fontId="34" fillId="0" borderId="0" xfId="0" applyFont="1" applyAlignment="1">
      <alignment wrapText="1"/>
    </xf>
    <xf numFmtId="0" fontId="55" fillId="2" borderId="0" xfId="0" applyFont="1" applyFill="1" applyAlignment="1" applyProtection="1">
      <alignment vertical="center" wrapText="1"/>
      <protection hidden="1"/>
    </xf>
    <xf numFmtId="0" fontId="55" fillId="0" borderId="0" xfId="0" applyFont="1"/>
    <xf numFmtId="166" fontId="55" fillId="2" borderId="0" xfId="0" applyNumberFormat="1" applyFont="1" applyFill="1" applyAlignment="1" applyProtection="1">
      <alignment horizontal="center" vertical="center" wrapText="1"/>
      <protection hidden="1"/>
    </xf>
    <xf numFmtId="166" fontId="55" fillId="0" borderId="0" xfId="0" applyNumberFormat="1" applyFont="1" applyAlignment="1">
      <alignment horizontal="center"/>
    </xf>
    <xf numFmtId="0" fontId="56" fillId="0" borderId="0" xfId="0" applyFont="1" applyAlignment="1">
      <alignment wrapText="1"/>
    </xf>
    <xf numFmtId="0" fontId="5" fillId="37" borderId="0" xfId="0" applyFont="1" applyFill="1" applyProtection="1">
      <protection hidden="1"/>
    </xf>
    <xf numFmtId="0" fontId="1" fillId="37" borderId="0" xfId="0" applyFont="1" applyFill="1" applyProtection="1">
      <protection hidden="1"/>
    </xf>
    <xf numFmtId="0" fontId="1" fillId="37" borderId="0" xfId="0" applyFont="1" applyFill="1" applyAlignment="1" applyProtection="1">
      <alignment horizontal="right"/>
      <protection hidden="1"/>
    </xf>
    <xf numFmtId="0" fontId="6" fillId="37" borderId="0" xfId="0" applyFont="1" applyFill="1" applyProtection="1">
      <protection hidden="1"/>
    </xf>
    <xf numFmtId="0" fontId="57" fillId="2" borderId="0" xfId="0" applyFont="1" applyFill="1" applyProtection="1">
      <protection hidden="1"/>
    </xf>
    <xf numFmtId="0" fontId="33" fillId="0" borderId="0" xfId="0" applyFont="1"/>
    <xf numFmtId="0" fontId="16" fillId="37" borderId="5" xfId="0" applyFont="1" applyFill="1" applyBorder="1" applyAlignment="1" applyProtection="1">
      <alignment vertical="center" wrapText="1"/>
      <protection hidden="1"/>
    </xf>
    <xf numFmtId="0" fontId="16" fillId="37" borderId="6" xfId="0" applyFont="1" applyFill="1" applyBorder="1" applyAlignment="1" applyProtection="1">
      <alignment horizontal="center" vertical="center" wrapText="1"/>
      <protection hidden="1"/>
    </xf>
    <xf numFmtId="0" fontId="16" fillId="37" borderId="7" xfId="0" applyFont="1" applyFill="1" applyBorder="1" applyAlignment="1" applyProtection="1">
      <alignment horizontal="center" vertical="center" wrapText="1"/>
      <protection hidden="1"/>
    </xf>
    <xf numFmtId="0" fontId="59" fillId="0" borderId="0" xfId="0" applyFont="1" applyProtection="1">
      <protection hidden="1"/>
    </xf>
    <xf numFmtId="0" fontId="0" fillId="0" borderId="0" xfId="0" applyAlignment="1" applyProtection="1">
      <alignment horizontal="center"/>
      <protection hidden="1"/>
    </xf>
    <xf numFmtId="0" fontId="58" fillId="37" borderId="12" xfId="6" applyFont="1" applyFill="1" applyProtection="1">
      <protection hidden="1"/>
    </xf>
    <xf numFmtId="0" fontId="2" fillId="4" borderId="22" xfId="21" applyFill="1" applyBorder="1" applyProtection="1">
      <protection hidden="1"/>
    </xf>
    <xf numFmtId="0" fontId="2" fillId="4" borderId="23" xfId="21" applyFill="1" applyBorder="1" applyProtection="1">
      <protection hidden="1"/>
    </xf>
    <xf numFmtId="0" fontId="2" fillId="4" borderId="28" xfId="21" applyFill="1" applyBorder="1" applyAlignment="1" applyProtection="1">
      <alignment horizontal="center" wrapText="1"/>
      <protection hidden="1"/>
    </xf>
    <xf numFmtId="0" fontId="2" fillId="4" borderId="29" xfId="21" applyFill="1" applyBorder="1" applyAlignment="1" applyProtection="1">
      <alignment horizontal="center" wrapText="1"/>
      <protection hidden="1"/>
    </xf>
    <xf numFmtId="0" fontId="2" fillId="4" borderId="30" xfId="21" applyFill="1" applyBorder="1" applyAlignment="1" applyProtection="1">
      <alignment horizontal="center" wrapText="1"/>
      <protection hidden="1"/>
    </xf>
    <xf numFmtId="0" fontId="2" fillId="4" borderId="22" xfId="21" applyFill="1" applyBorder="1" applyAlignment="1" applyProtection="1">
      <alignment vertical="center" wrapText="1"/>
      <protection hidden="1"/>
    </xf>
    <xf numFmtId="166" fontId="2" fillId="4" borderId="23" xfId="21" applyNumberFormat="1" applyFill="1" applyBorder="1" applyAlignment="1" applyProtection="1">
      <alignment horizontal="center"/>
      <protection hidden="1"/>
    </xf>
    <xf numFmtId="0" fontId="2" fillId="4" borderId="23" xfId="21" applyFill="1" applyBorder="1" applyAlignment="1" applyProtection="1">
      <alignment horizontal="center"/>
      <protection hidden="1"/>
    </xf>
    <xf numFmtId="166" fontId="2" fillId="4" borderId="28" xfId="21" applyNumberFormat="1" applyFill="1" applyBorder="1" applyAlignment="1" applyProtection="1">
      <alignment horizontal="center"/>
      <protection hidden="1"/>
    </xf>
    <xf numFmtId="166" fontId="2" fillId="4" borderId="29" xfId="21" applyNumberFormat="1" applyFill="1" applyBorder="1" applyAlignment="1" applyProtection="1">
      <alignment horizontal="center"/>
      <protection hidden="1"/>
    </xf>
    <xf numFmtId="166" fontId="2" fillId="4" borderId="30" xfId="21" applyNumberFormat="1" applyFill="1" applyBorder="1" applyAlignment="1" applyProtection="1">
      <alignment horizontal="center"/>
      <protection hidden="1"/>
    </xf>
    <xf numFmtId="166" fontId="2" fillId="4" borderId="31" xfId="21" applyNumberFormat="1" applyFill="1" applyBorder="1" applyAlignment="1" applyProtection="1">
      <alignment horizontal="center"/>
      <protection hidden="1"/>
    </xf>
    <xf numFmtId="166" fontId="2" fillId="4" borderId="32" xfId="21" applyNumberFormat="1" applyFill="1" applyBorder="1" applyAlignment="1" applyProtection="1">
      <alignment horizontal="center"/>
      <protection hidden="1"/>
    </xf>
    <xf numFmtId="166" fontId="2" fillId="4" borderId="33" xfId="21" applyNumberFormat="1" applyFill="1" applyBorder="1" applyAlignment="1" applyProtection="1">
      <alignment horizontal="center"/>
      <protection hidden="1"/>
    </xf>
    <xf numFmtId="0" fontId="1" fillId="2" borderId="2" xfId="1" applyNumberFormat="1" applyFont="1" applyFill="1" applyBorder="1" applyAlignment="1" applyProtection="1">
      <alignment horizontal="right"/>
      <protection hidden="1"/>
    </xf>
    <xf numFmtId="0" fontId="60" fillId="0" borderId="0" xfId="0" applyFont="1"/>
    <xf numFmtId="166" fontId="54" fillId="3" borderId="2" xfId="1" applyNumberFormat="1" applyFont="1" applyFill="1" applyBorder="1" applyAlignment="1" applyProtection="1">
      <alignment horizontal="right"/>
      <protection hidden="1"/>
    </xf>
    <xf numFmtId="9" fontId="1" fillId="0" borderId="2" xfId="0" applyNumberFormat="1" applyFont="1" applyBorder="1" applyAlignment="1" applyProtection="1">
      <alignment horizontal="right"/>
      <protection hidden="1"/>
    </xf>
    <xf numFmtId="0" fontId="4" fillId="0" borderId="0" xfId="0" applyFont="1" applyAlignment="1" applyProtection="1">
      <alignment horizontal="right"/>
      <protection hidden="1"/>
    </xf>
    <xf numFmtId="0" fontId="4" fillId="0" borderId="0" xfId="0" applyFont="1" applyProtection="1">
      <protection hidden="1"/>
    </xf>
    <xf numFmtId="0" fontId="61" fillId="0" borderId="0" xfId="0" applyFont="1" applyAlignment="1" applyProtection="1">
      <alignment horizontal="right"/>
      <protection hidden="1"/>
    </xf>
    <xf numFmtId="0" fontId="17" fillId="0" borderId="0" xfId="0" applyFont="1" applyAlignment="1" applyProtection="1">
      <alignment horizontal="right"/>
      <protection hidden="1"/>
    </xf>
    <xf numFmtId="0" fontId="1" fillId="0" borderId="1" xfId="0" applyFont="1" applyBorder="1" applyAlignment="1" applyProtection="1">
      <alignment horizontal="right" vertical="center"/>
      <protection hidden="1"/>
    </xf>
    <xf numFmtId="0" fontId="1" fillId="3" borderId="0" xfId="0" applyFont="1" applyFill="1" applyAlignment="1" applyProtection="1">
      <alignment horizontal="right"/>
      <protection hidden="1"/>
    </xf>
    <xf numFmtId="9" fontId="1" fillId="3" borderId="20" xfId="1" applyFont="1" applyFill="1" applyBorder="1" applyAlignment="1" applyProtection="1">
      <alignment horizontal="right"/>
      <protection hidden="1"/>
    </xf>
    <xf numFmtId="3" fontId="1" fillId="3" borderId="2" xfId="0" applyNumberFormat="1" applyFont="1" applyFill="1" applyBorder="1" applyAlignment="1" applyProtection="1">
      <alignment horizontal="right"/>
      <protection hidden="1"/>
    </xf>
    <xf numFmtId="3" fontId="1" fillId="3" borderId="19" xfId="0" applyNumberFormat="1" applyFont="1" applyFill="1" applyBorder="1" applyAlignment="1" applyProtection="1">
      <alignment horizontal="right"/>
      <protection hidden="1"/>
    </xf>
    <xf numFmtId="0" fontId="12" fillId="3" borderId="0" xfId="0" applyFont="1" applyFill="1" applyAlignment="1" applyProtection="1">
      <alignment horizontal="right"/>
      <protection hidden="1"/>
    </xf>
    <xf numFmtId="9" fontId="12" fillId="3" borderId="19" xfId="1" applyFont="1" applyFill="1" applyBorder="1" applyAlignment="1" applyProtection="1">
      <alignment horizontal="right"/>
      <protection hidden="1"/>
    </xf>
    <xf numFmtId="3" fontId="12" fillId="3" borderId="19" xfId="0" applyNumberFormat="1" applyFont="1" applyFill="1" applyBorder="1" applyAlignment="1" applyProtection="1">
      <alignment horizontal="right"/>
      <protection hidden="1"/>
    </xf>
    <xf numFmtId="166" fontId="54" fillId="3" borderId="19" xfId="0" applyNumberFormat="1" applyFont="1" applyFill="1" applyBorder="1" applyAlignment="1" applyProtection="1">
      <alignment horizontal="right"/>
      <protection hidden="1"/>
    </xf>
    <xf numFmtId="166" fontId="53" fillId="2" borderId="2" xfId="1" applyNumberFormat="1" applyFont="1" applyFill="1" applyBorder="1" applyAlignment="1" applyProtection="1">
      <alignment horizontal="right"/>
      <protection hidden="1"/>
    </xf>
    <xf numFmtId="166" fontId="33" fillId="0" borderId="0" xfId="0" applyNumberFormat="1" applyFont="1"/>
    <xf numFmtId="166" fontId="54" fillId="2" borderId="2" xfId="1" applyNumberFormat="1" applyFont="1" applyFill="1" applyBorder="1" applyAlignment="1" applyProtection="1">
      <alignment horizontal="right"/>
      <protection hidden="1"/>
    </xf>
    <xf numFmtId="9" fontId="12" fillId="2" borderId="2" xfId="1" applyFont="1" applyFill="1" applyBorder="1" applyAlignment="1" applyProtection="1">
      <alignment horizontal="right"/>
      <protection hidden="1"/>
    </xf>
    <xf numFmtId="0" fontId="12" fillId="2" borderId="2" xfId="0" applyFont="1" applyFill="1" applyBorder="1" applyAlignment="1" applyProtection="1">
      <alignment horizontal="right"/>
      <protection hidden="1"/>
    </xf>
    <xf numFmtId="9" fontId="1" fillId="2" borderId="20" xfId="1" applyFont="1" applyFill="1" applyBorder="1" applyAlignment="1" applyProtection="1">
      <alignment horizontal="right"/>
      <protection hidden="1"/>
    </xf>
    <xf numFmtId="3" fontId="1" fillId="2" borderId="2" xfId="0" applyNumberFormat="1" applyFont="1" applyFill="1" applyBorder="1" applyAlignment="1" applyProtection="1">
      <alignment horizontal="right"/>
      <protection hidden="1"/>
    </xf>
    <xf numFmtId="9" fontId="12" fillId="2" borderId="19" xfId="1" applyFont="1" applyFill="1" applyBorder="1" applyAlignment="1" applyProtection="1">
      <alignment horizontal="right"/>
      <protection hidden="1"/>
    </xf>
    <xf numFmtId="3" fontId="12" fillId="2" borderId="19" xfId="0" applyNumberFormat="1" applyFont="1" applyFill="1" applyBorder="1" applyAlignment="1" applyProtection="1">
      <alignment horizontal="right"/>
      <protection hidden="1"/>
    </xf>
    <xf numFmtId="166" fontId="54" fillId="2" borderId="19" xfId="0" applyNumberFormat="1" applyFont="1" applyFill="1" applyBorder="1" applyAlignment="1" applyProtection="1">
      <alignment horizontal="right"/>
      <protection hidden="1"/>
    </xf>
    <xf numFmtId="166" fontId="55" fillId="4" borderId="0" xfId="0" applyNumberFormat="1" applyFont="1" applyFill="1" applyAlignment="1" applyProtection="1">
      <alignment horizontal="center" vertical="center" wrapText="1"/>
      <protection hidden="1"/>
    </xf>
    <xf numFmtId="49" fontId="55" fillId="0" borderId="0" xfId="0" applyNumberFormat="1" applyFont="1" applyAlignment="1">
      <alignment horizontal="center"/>
    </xf>
    <xf numFmtId="0" fontId="62" fillId="0" borderId="0" xfId="0" applyFont="1"/>
    <xf numFmtId="0" fontId="43" fillId="2" borderId="0" xfId="0" applyFont="1" applyFill="1" applyAlignment="1" applyProtection="1">
      <alignment horizontal="center"/>
      <protection hidden="1"/>
    </xf>
    <xf numFmtId="0" fontId="4" fillId="0" borderId="3" xfId="0" applyFont="1" applyBorder="1" applyAlignment="1" applyProtection="1">
      <alignment horizontal="right"/>
      <protection hidden="1"/>
    </xf>
    <xf numFmtId="0" fontId="7" fillId="2" borderId="19" xfId="0" applyFont="1" applyFill="1" applyBorder="1" applyAlignment="1" applyProtection="1">
      <alignment horizontal="left"/>
      <protection hidden="1"/>
    </xf>
    <xf numFmtId="0" fontId="1" fillId="4" borderId="0" xfId="0" applyFont="1" applyFill="1" applyAlignment="1" applyProtection="1">
      <alignment horizontal="right"/>
      <protection hidden="1"/>
    </xf>
    <xf numFmtId="9" fontId="1" fillId="4" borderId="19" xfId="1" applyFont="1" applyFill="1" applyBorder="1" applyAlignment="1" applyProtection="1">
      <alignment horizontal="right"/>
      <protection hidden="1"/>
    </xf>
    <xf numFmtId="3" fontId="1" fillId="4" borderId="19" xfId="0" applyNumberFormat="1" applyFont="1" applyFill="1" applyBorder="1" applyAlignment="1" applyProtection="1">
      <alignment horizontal="right"/>
      <protection hidden="1"/>
    </xf>
    <xf numFmtId="0" fontId="14" fillId="2" borderId="0" xfId="0" applyFont="1" applyFill="1" applyProtection="1">
      <protection hidden="1"/>
    </xf>
    <xf numFmtId="0" fontId="14" fillId="2" borderId="0" xfId="0" applyFont="1" applyFill="1" applyAlignment="1" applyProtection="1">
      <alignment horizontal="left" vertical="top" wrapText="1"/>
      <protection hidden="1"/>
    </xf>
    <xf numFmtId="0" fontId="14" fillId="2" borderId="0" xfId="0" applyFont="1" applyFill="1" applyAlignment="1" applyProtection="1">
      <alignment horizontal="left" wrapText="1"/>
      <protection hidden="1"/>
    </xf>
    <xf numFmtId="0" fontId="2" fillId="4" borderId="24" xfId="21" applyFill="1" applyBorder="1" applyAlignment="1" applyProtection="1">
      <alignment horizontal="center" wrapText="1"/>
      <protection hidden="1"/>
    </xf>
    <xf numFmtId="0" fontId="58" fillId="37" borderId="12" xfId="6" applyFont="1" applyFill="1" applyAlignment="1" applyProtection="1">
      <alignment horizontal="center"/>
      <protection hidden="1"/>
    </xf>
    <xf numFmtId="0" fontId="58" fillId="37" borderId="34" xfId="6" applyFont="1" applyFill="1" applyBorder="1" applyAlignment="1" applyProtection="1">
      <alignment horizontal="center"/>
      <protection hidden="1"/>
    </xf>
    <xf numFmtId="0" fontId="58" fillId="37" borderId="25" xfId="6" applyFont="1" applyFill="1" applyBorder="1" applyAlignment="1" applyProtection="1">
      <alignment horizontal="center"/>
      <protection hidden="1"/>
    </xf>
    <xf numFmtId="0" fontId="58" fillId="37" borderId="26" xfId="6" applyFont="1" applyFill="1" applyBorder="1" applyAlignment="1" applyProtection="1">
      <alignment horizontal="center"/>
      <protection hidden="1"/>
    </xf>
    <xf numFmtId="0" fontId="58" fillId="37" borderId="27" xfId="6" applyFont="1" applyFill="1" applyBorder="1" applyAlignment="1" applyProtection="1">
      <alignment horizontal="center"/>
      <protection hidden="1"/>
    </xf>
  </cellXfs>
  <cellStyles count="51">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17" builtinId="10" customBuiltin="1"/>
    <cellStyle name="Beräkning" xfId="13" builtinId="22" customBuiltin="1"/>
    <cellStyle name="Bra" xfId="8" builtinId="26" customBuiltin="1"/>
    <cellStyle name="Comma" xfId="48" xr:uid="{00000000-0005-0000-0000-000015000000}"/>
    <cellStyle name="Comma [0]" xfId="49" xr:uid="{00000000-0005-0000-0000-000016000000}"/>
    <cellStyle name="Currency" xfId="46" xr:uid="{00000000-0005-0000-0000-000017000000}"/>
    <cellStyle name="Currency [0]" xfId="47" xr:uid="{00000000-0005-0000-0000-000018000000}"/>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9" builtinId="27" customBuiltin="1"/>
    <cellStyle name="Förklarande text" xfId="18" builtinId="53" customBuiltin="1"/>
    <cellStyle name="Hyperlänk" xfId="2" builtinId="8"/>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44" xr:uid="{00000000-0005-0000-0000-000027000000}"/>
    <cellStyle name="Normal 3" xfId="50" xr:uid="{8E62CFE1-D79C-4640-852B-7F92A225993C}"/>
    <cellStyle name="Percent" xfId="45" xr:uid="{00000000-0005-0000-0000-000028000000}"/>
    <cellStyle name="Procent" xfId="1" builtinId="5"/>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259">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3"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3" formatCode="0%"/>
    </dxf>
    <dxf>
      <numFmt numFmtId="14" formatCode="0.00%"/>
    </dxf>
    <dxf>
      <numFmt numFmtId="13" formatCode="0%"/>
    </dxf>
    <dxf>
      <numFmt numFmtId="13" formatCode="0%"/>
    </dxf>
    <dxf>
      <numFmt numFmtId="13" formatCode="0%"/>
    </dxf>
    <dxf>
      <numFmt numFmtId="14" formatCode="0.00%"/>
    </dxf>
    <dxf>
      <numFmt numFmtId="13" formatCode="0%"/>
    </dxf>
    <dxf>
      <numFmt numFmtId="13" formatCode="0%"/>
    </dxf>
    <dxf>
      <numFmt numFmtId="166" formatCode="0.0"/>
    </dxf>
    <dxf>
      <numFmt numFmtId="166" formatCode="0.0"/>
    </dxf>
    <dxf>
      <numFmt numFmtId="13" formatCode="0%"/>
    </dxf>
    <dxf>
      <numFmt numFmtId="13" formatCode="0%"/>
    </dxf>
    <dxf>
      <numFmt numFmtId="13" formatCode="0%"/>
    </dxf>
    <dxf>
      <numFmt numFmtId="14" formatCode="0.00%"/>
    </dxf>
    <dxf>
      <numFmt numFmtId="166" formatCode="0.0"/>
    </dxf>
    <dxf>
      <numFmt numFmtId="13" formatCode="0%"/>
    </dxf>
    <dxf>
      <numFmt numFmtId="14" formatCode="0.00%"/>
    </dxf>
    <dxf>
      <numFmt numFmtId="13" formatCode="0%"/>
    </dxf>
    <dxf>
      <numFmt numFmtId="13" formatCode="0%"/>
    </dxf>
    <dxf>
      <numFmt numFmtId="2" formatCode="0.00"/>
    </dxf>
    <dxf>
      <numFmt numFmtId="2" formatCode="0.00"/>
    </dxf>
    <dxf>
      <numFmt numFmtId="2" formatCode="0.00"/>
    </dxf>
    <dxf>
      <numFmt numFmtId="13" formatCode="0%"/>
    </dxf>
    <dxf>
      <numFmt numFmtId="13" formatCode="0%"/>
    </dxf>
    <dxf>
      <numFmt numFmtId="2" formatCode="0.00"/>
    </dxf>
    <dxf>
      <numFmt numFmtId="2" formatCode="0.00"/>
    </dxf>
    <dxf>
      <numFmt numFmtId="2" formatCode="0.00"/>
    </dxf>
    <dxf>
      <numFmt numFmtId="13" formatCode="0%"/>
    </dxf>
    <dxf>
      <numFmt numFmtId="13" formatCode="0%"/>
    </dxf>
    <dxf>
      <numFmt numFmtId="14" formatCode="0.00%"/>
    </dxf>
    <dxf>
      <numFmt numFmtId="13" formatCode="0%"/>
    </dxf>
    <dxf>
      <numFmt numFmtId="13" formatCode="0%"/>
    </dxf>
    <dxf>
      <numFmt numFmtId="166" formatCode="0.0"/>
    </dxf>
    <dxf>
      <numFmt numFmtId="166" formatCode="0.0"/>
    </dxf>
    <dxf>
      <numFmt numFmtId="13" formatCode="0%"/>
    </dxf>
    <dxf>
      <numFmt numFmtId="14" formatCode="0.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4" formatCode="0.00%"/>
    </dxf>
    <dxf>
      <numFmt numFmtId="13" formatCode="0%"/>
    </dxf>
    <dxf>
      <numFmt numFmtId="13" formatCode="0%"/>
    </dxf>
    <dxf>
      <numFmt numFmtId="13" formatCode="0%"/>
    </dxf>
    <dxf>
      <numFmt numFmtId="166" formatCode="0.0"/>
    </dxf>
    <dxf>
      <numFmt numFmtId="2" formatCode="0.00"/>
    </dxf>
    <dxf>
      <numFmt numFmtId="2" formatCode="0.00"/>
    </dxf>
    <dxf>
      <numFmt numFmtId="2" formatCode="0.00"/>
    </dxf>
    <dxf>
      <numFmt numFmtId="166" formatCode="0.0"/>
    </dxf>
    <dxf>
      <numFmt numFmtId="13" formatCode="0%"/>
    </dxf>
    <dxf>
      <numFmt numFmtId="13" formatCode="0%"/>
    </dxf>
    <dxf>
      <numFmt numFmtId="1" formatCode="0"/>
    </dxf>
    <dxf>
      <numFmt numFmtId="1" formatCode="0"/>
    </dxf>
    <dxf>
      <numFmt numFmtId="2" formatCode="0.00"/>
    </dxf>
    <dxf>
      <numFmt numFmtId="13" formatCode="0%"/>
    </dxf>
    <dxf>
      <numFmt numFmtId="13" formatCode="0%"/>
    </dxf>
    <dxf>
      <numFmt numFmtId="13" formatCode="0%"/>
    </dxf>
    <dxf>
      <numFmt numFmtId="2" formatCode="0.00"/>
    </dxf>
    <dxf>
      <numFmt numFmtId="2" formatCode="0.00"/>
    </dxf>
    <dxf>
      <numFmt numFmtId="2" formatCode="0.00"/>
    </dxf>
    <dxf>
      <numFmt numFmtId="13" formatCode="0%"/>
    </dxf>
    <dxf>
      <numFmt numFmtId="13" formatCode="0%"/>
    </dxf>
    <dxf>
      <numFmt numFmtId="166" formatCode="0.0"/>
    </dxf>
    <dxf>
      <numFmt numFmtId="2" formatCode="0.00"/>
    </dxf>
    <dxf>
      <numFmt numFmtId="2" formatCode="0.00"/>
    </dxf>
    <dxf>
      <numFmt numFmtId="2" formatCode="0.00"/>
    </dxf>
    <dxf>
      <numFmt numFmtId="13" formatCode="0%"/>
    </dxf>
    <dxf>
      <numFmt numFmtId="13" formatCode="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66" formatCode="0.0"/>
    </dxf>
    <dxf>
      <numFmt numFmtId="13" formatCode="0%"/>
    </dxf>
    <dxf>
      <numFmt numFmtId="14" formatCode="0.00%"/>
    </dxf>
    <dxf>
      <numFmt numFmtId="13" formatCode="0%"/>
    </dxf>
    <dxf>
      <numFmt numFmtId="13" formatCode="0%"/>
    </dxf>
    <dxf>
      <numFmt numFmtId="13" formatCode="0%"/>
    </dxf>
    <dxf>
      <numFmt numFmtId="13" formatCode="0%"/>
    </dxf>
    <dxf>
      <numFmt numFmtId="14" formatCode="0.00%"/>
    </dxf>
    <dxf>
      <numFmt numFmtId="2" formatCode="0.00"/>
    </dxf>
    <dxf>
      <numFmt numFmtId="2" formatCode="0.00"/>
    </dxf>
    <dxf>
      <numFmt numFmtId="13" formatCode="0%"/>
    </dxf>
    <dxf>
      <numFmt numFmtId="13" formatCode="0%"/>
    </dxf>
    <dxf>
      <numFmt numFmtId="13" formatCode="0%"/>
    </dxf>
    <dxf>
      <numFmt numFmtId="14" formatCode="0.00%"/>
    </dxf>
    <dxf>
      <numFmt numFmtId="13" formatCode="0%"/>
    </dxf>
    <dxf>
      <numFmt numFmtId="13" formatCode="0%"/>
    </dxf>
    <dxf>
      <numFmt numFmtId="166" formatCode="0.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dxf>
    <dxf>
      <font>
        <strike val="0"/>
        <outline val="0"/>
        <shadow val="0"/>
        <u val="none"/>
        <vertAlign val="baseline"/>
        <sz val="12"/>
        <name val="Calibri"/>
        <family val="2"/>
        <scheme val="minor"/>
      </font>
    </dxf>
    <dxf>
      <font>
        <b/>
        <i val="0"/>
        <strike val="0"/>
        <condense val="0"/>
        <extend val="0"/>
        <outline val="0"/>
        <shadow val="0"/>
        <u val="none"/>
        <vertAlign val="baseline"/>
        <sz val="12"/>
        <color rgb="FF00B0F0"/>
        <name val="Calibri"/>
        <family val="2"/>
        <scheme val="minor"/>
      </font>
      <fill>
        <patternFill patternType="solid">
          <fgColor indexed="64"/>
          <bgColor theme="0"/>
        </patternFill>
      </fill>
      <alignment horizontal="general" vertical="center" textRotation="0" wrapText="1" indent="0" justifyLastLine="0" shrinkToFit="0" readingOrder="0"/>
      <protection locked="1" hidden="1"/>
    </dxf>
  </dxfs>
  <tableStyles count="0" defaultTableStyle="TableStyleMedium2" defaultPivotStyle="PivotStyleLight16"/>
  <colors>
    <mruColors>
      <color rgb="FFDAEEF3"/>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4.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1</xdr:col>
      <xdr:colOff>1447107</xdr:colOff>
      <xdr:row>8</xdr:row>
      <xdr:rowOff>134632</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333375"/>
          <a:ext cx="1066107" cy="1508137"/>
        </a:xfrm>
        <a:prstGeom prst="rect">
          <a:avLst/>
        </a:prstGeom>
        <a:ln>
          <a:noFill/>
        </a:ln>
      </xdr:spPr>
    </xdr:pic>
    <xdr:clientData/>
  </xdr:twoCellAnchor>
  <xdr:twoCellAnchor editAs="oneCell">
    <xdr:from>
      <xdr:col>1</xdr:col>
      <xdr:colOff>1723390</xdr:colOff>
      <xdr:row>15</xdr:row>
      <xdr:rowOff>40640</xdr:rowOff>
    </xdr:from>
    <xdr:to>
      <xdr:col>2</xdr:col>
      <xdr:colOff>219075</xdr:colOff>
      <xdr:row>16</xdr:row>
      <xdr:rowOff>30480</xdr:rowOff>
    </xdr:to>
    <xdr:pic>
      <xdr:nvPicPr>
        <xdr:cNvPr id="5" name="Bildobjekt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3415" y="2802890"/>
          <a:ext cx="276860" cy="208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162559</xdr:colOff>
      <xdr:row>28</xdr:row>
      <xdr:rowOff>11432</xdr:rowOff>
    </xdr:from>
    <xdr:to>
      <xdr:col>5</xdr:col>
      <xdr:colOff>120650</xdr:colOff>
      <xdr:row>39</xdr:row>
      <xdr:rowOff>36195</xdr:rowOff>
    </xdr:to>
    <mc:AlternateContent xmlns:mc="http://schemas.openxmlformats.org/markup-compatibility/2006">
      <mc:Choice xmlns:a14="http://schemas.microsoft.com/office/drawing/2010/main" Requires="a14">
        <xdr:graphicFrame macro="">
          <xdr:nvGraphicFramePr>
            <xdr:cNvPr id="11" name="F2 1">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F2 1"/>
            </a:graphicData>
          </a:graphic>
        </xdr:graphicFrame>
      </mc:Choice>
      <mc:Fallback>
        <xdr:sp macro="" textlink="">
          <xdr:nvSpPr>
            <xdr:cNvPr id="0" name=""/>
            <xdr:cNvSpPr>
              <a:spLocks noTextEdit="1"/>
            </xdr:cNvSpPr>
          </xdr:nvSpPr>
          <xdr:spPr>
            <a:xfrm>
              <a:off x="159384" y="4951732"/>
              <a:ext cx="3860166" cy="201866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5</xdr:col>
      <xdr:colOff>255269</xdr:colOff>
      <xdr:row>28</xdr:row>
      <xdr:rowOff>26671</xdr:rowOff>
    </xdr:from>
    <xdr:to>
      <xdr:col>9</xdr:col>
      <xdr:colOff>86994</xdr:colOff>
      <xdr:row>34</xdr:row>
      <xdr:rowOff>133350</xdr:rowOff>
    </xdr:to>
    <mc:AlternateContent xmlns:mc="http://schemas.openxmlformats.org/markup-compatibility/2006">
      <mc:Choice xmlns:a14="http://schemas.microsoft.com/office/drawing/2010/main" Requires="a14">
        <xdr:graphicFrame macro="">
          <xdr:nvGraphicFramePr>
            <xdr:cNvPr id="12" name="Kön 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Kön 1"/>
            </a:graphicData>
          </a:graphic>
        </xdr:graphicFrame>
      </mc:Choice>
      <mc:Fallback>
        <xdr:sp macro="" textlink="">
          <xdr:nvSpPr>
            <xdr:cNvPr id="0" name=""/>
            <xdr:cNvSpPr>
              <a:spLocks noTextEdit="1"/>
            </xdr:cNvSpPr>
          </xdr:nvSpPr>
          <xdr:spPr>
            <a:xfrm>
              <a:off x="4154169" y="4973321"/>
              <a:ext cx="2454275" cy="1189354"/>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387349</xdr:colOff>
      <xdr:row>3</xdr:row>
      <xdr:rowOff>147865</xdr:rowOff>
    </xdr:from>
    <xdr:to>
      <xdr:col>24</xdr:col>
      <xdr:colOff>387349</xdr:colOff>
      <xdr:row>10</xdr:row>
      <xdr:rowOff>128815</xdr:rowOff>
    </xdr:to>
    <mc:AlternateContent xmlns:mc="http://schemas.openxmlformats.org/markup-compatibility/2006" xmlns:a14="http://schemas.microsoft.com/office/drawing/2010/main">
      <mc:Choice Requires="a14">
        <xdr:graphicFrame macro="">
          <xdr:nvGraphicFramePr>
            <xdr:cNvPr id="2" name="F2_">
              <a:extLst>
                <a:ext uri="{FF2B5EF4-FFF2-40B4-BE49-F238E27FC236}">
                  <a16:creationId xmlns:a16="http://schemas.microsoft.com/office/drawing/2014/main" id="{68A579DB-13E7-4DAF-A825-CE261A93C72E}"/>
                </a:ext>
              </a:extLst>
            </xdr:cNvPr>
            <xdr:cNvGraphicFramePr/>
          </xdr:nvGraphicFramePr>
          <xdr:xfrm>
            <a:off x="0" y="0"/>
            <a:ext cx="0" cy="0"/>
          </xdr:xfrm>
          <a:graphic>
            <a:graphicData uri="http://schemas.microsoft.com/office/drawing/2010/slicer">
              <sle:slicer xmlns:sle="http://schemas.microsoft.com/office/drawing/2010/slicer" name="F2_"/>
            </a:graphicData>
          </a:graphic>
        </xdr:graphicFrame>
      </mc:Choice>
      <mc:Fallback xmlns="">
        <xdr:sp macro="" textlink="">
          <xdr:nvSpPr>
            <xdr:cNvPr id="0" name=""/>
            <xdr:cNvSpPr>
              <a:spLocks noTextEdit="1"/>
            </xdr:cNvSpPr>
          </xdr:nvSpPr>
          <xdr:spPr>
            <a:xfrm>
              <a:off x="14678024" y="675369"/>
              <a:ext cx="1836964" cy="2198914"/>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21</xdr:col>
      <xdr:colOff>404132</xdr:colOff>
      <xdr:row>11</xdr:row>
      <xdr:rowOff>159203</xdr:rowOff>
    </xdr:from>
    <xdr:to>
      <xdr:col>24</xdr:col>
      <xdr:colOff>404132</xdr:colOff>
      <xdr:row>14</xdr:row>
      <xdr:rowOff>225878</xdr:rowOff>
    </xdr:to>
    <mc:AlternateContent xmlns:mc="http://schemas.openxmlformats.org/markup-compatibility/2006" xmlns:a14="http://schemas.microsoft.com/office/drawing/2010/main">
      <mc:Choice Requires="a14">
        <xdr:graphicFrame macro="">
          <xdr:nvGraphicFramePr>
            <xdr:cNvPr id="3" name="Kön 2">
              <a:extLst>
                <a:ext uri="{FF2B5EF4-FFF2-40B4-BE49-F238E27FC236}">
                  <a16:creationId xmlns:a16="http://schemas.microsoft.com/office/drawing/2014/main" id="{181865C2-D7BD-498D-80C8-897063ED0C80}"/>
                </a:ext>
              </a:extLst>
            </xdr:cNvPr>
            <xdr:cNvGraphicFramePr/>
          </xdr:nvGraphicFramePr>
          <xdr:xfrm>
            <a:off x="0" y="0"/>
            <a:ext cx="0" cy="0"/>
          </xdr:xfrm>
          <a:graphic>
            <a:graphicData uri="http://schemas.microsoft.com/office/drawing/2010/slicer">
              <sle:slicer xmlns:sle="http://schemas.microsoft.com/office/drawing/2010/slicer" name="Kön 2"/>
            </a:graphicData>
          </a:graphic>
        </xdr:graphicFrame>
      </mc:Choice>
      <mc:Fallback xmlns="">
        <xdr:sp macro="" textlink="">
          <xdr:nvSpPr>
            <xdr:cNvPr id="0" name=""/>
            <xdr:cNvSpPr>
              <a:spLocks noTextEdit="1"/>
            </xdr:cNvSpPr>
          </xdr:nvSpPr>
          <xdr:spPr>
            <a:xfrm>
              <a:off x="14694807" y="3087914"/>
              <a:ext cx="1836964" cy="1165678"/>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101600</xdr:rowOff>
    </xdr:from>
    <xdr:to>
      <xdr:col>8</xdr:col>
      <xdr:colOff>82550</xdr:colOff>
      <xdr:row>12</xdr:row>
      <xdr:rowOff>3174</xdr:rowOff>
    </xdr:to>
    <mc:AlternateContent xmlns:mc="http://schemas.openxmlformats.org/markup-compatibility/2006" xmlns:a14="http://schemas.microsoft.com/office/drawing/2010/main">
      <mc:Choice Requires="a14">
        <xdr:graphicFrame macro="">
          <xdr:nvGraphicFramePr>
            <xdr:cNvPr id="2" name="F2">
              <a:extLst>
                <a:ext uri="{FF2B5EF4-FFF2-40B4-BE49-F238E27FC236}">
                  <a16:creationId xmlns:a16="http://schemas.microsoft.com/office/drawing/2014/main" id="{78898F28-CA1D-4740-B314-5FF6104D9F91}"/>
                </a:ext>
              </a:extLst>
            </xdr:cNvPr>
            <xdr:cNvGraphicFramePr/>
          </xdr:nvGraphicFramePr>
          <xdr:xfrm>
            <a:off x="0" y="0"/>
            <a:ext cx="0" cy="0"/>
          </xdr:xfrm>
          <a:graphic>
            <a:graphicData uri="http://schemas.microsoft.com/office/drawing/2010/slicer">
              <sle:slicer xmlns:sle="http://schemas.microsoft.com/office/drawing/2010/slicer" name="F2"/>
            </a:graphicData>
          </a:graphic>
        </xdr:graphicFrame>
      </mc:Choice>
      <mc:Fallback xmlns="">
        <xdr:sp macro="" textlink="">
          <xdr:nvSpPr>
            <xdr:cNvPr id="0" name=""/>
            <xdr:cNvSpPr>
              <a:spLocks noTextEdit="1"/>
            </xdr:cNvSpPr>
          </xdr:nvSpPr>
          <xdr:spPr>
            <a:xfrm>
              <a:off x="2908300" y="101600"/>
              <a:ext cx="1828800" cy="210184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20</xdr:col>
      <xdr:colOff>317500</xdr:colOff>
      <xdr:row>0</xdr:row>
      <xdr:rowOff>44451</xdr:rowOff>
    </xdr:from>
    <xdr:to>
      <xdr:col>23</xdr:col>
      <xdr:colOff>314325</xdr:colOff>
      <xdr:row>7</xdr:row>
      <xdr:rowOff>47626</xdr:rowOff>
    </xdr:to>
    <mc:AlternateContent xmlns:mc="http://schemas.openxmlformats.org/markup-compatibility/2006" xmlns:a14="http://schemas.microsoft.com/office/drawing/2010/main">
      <mc:Choice Requires="a14">
        <xdr:graphicFrame macro="">
          <xdr:nvGraphicFramePr>
            <xdr:cNvPr id="4" name="Kön">
              <a:extLst>
                <a:ext uri="{FF2B5EF4-FFF2-40B4-BE49-F238E27FC236}">
                  <a16:creationId xmlns:a16="http://schemas.microsoft.com/office/drawing/2014/main" id="{DC1023BB-F450-4B46-A43F-01C53E308D87}"/>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11163300" y="44451"/>
              <a:ext cx="1828800" cy="12954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4992.39785115741" createdVersion="4" refreshedVersion="6" minRefreshableVersion="3" recordCount="466" xr:uid="{00000000-000A-0000-FFFF-FFFF00000000}">
  <cacheSource type="worksheet">
    <worksheetSource name="Tabell2"/>
  </cacheSource>
  <cacheFields count="60">
    <cacheField name="Utförare" numFmtId="0">
      <sharedItems containsNonDate="0" containsString="0" containsBlank="1"/>
    </cacheField>
    <cacheField name="År" numFmtId="0">
      <sharedItems containsSemiMixedTypes="0" containsString="0" containsNumber="1" containsInteger="1" minValue="2017" maxValue="2023" count="7">
        <n v="2019"/>
        <n v="2020"/>
        <n v="2021"/>
        <n v="2022"/>
        <n v="2023"/>
        <n v="2018" u="1"/>
        <n v="2017" u="1"/>
      </sharedItems>
    </cacheField>
    <cacheField name="F2" numFmtId="0">
      <sharedItems count="15">
        <s v="Lidmanska gymnasiet"/>
        <s v="Carlforsska gymnasiet"/>
        <s v="Edströmska gymnasiet"/>
        <s v="Tranellska gymnasiet"/>
        <s v="Hahrska gymnasiet"/>
        <s v="Tranellska" u="1"/>
        <s v="Hahrska" u="1"/>
        <s v="Edströmska" u="1"/>
        <s v="Lidmanska" u="1"/>
        <s v="Lidmanska gymnasiet  " u="1"/>
        <s v="Carlforsska" u="1"/>
        <s v="Edströmska  " u="1"/>
        <s v="Carlforsska ekonomi och handel" u="1"/>
        <s v="Carlforsskas Ekonomi- och handelsskola" u="1"/>
        <s v="Carlforsska Ekonomi- och handelsskola" u="1"/>
      </sharedItems>
    </cacheField>
    <cacheField name="Kön" numFmtId="0">
      <sharedItems containsString="0" containsBlank="1" containsNumber="1" containsInteger="1" minValue="1" maxValue="3" count="4">
        <n v="1"/>
        <n v="2"/>
        <n v="3"/>
        <m/>
      </sharedItems>
    </cacheField>
    <cacheField name="F4" numFmtId="0">
      <sharedItems containsNonDate="0" containsString="0" containsBlank="1"/>
    </cacheField>
    <cacheField name="F5" numFmtId="0">
      <sharedItems containsNonDate="0" containsString="0" containsBlank="1"/>
    </cacheField>
    <cacheField name="F6" numFmtId="0">
      <sharedItems containsNonDate="0" containsString="0" containsBlank="1"/>
    </cacheField>
    <cacheField name="F7" numFmtId="0">
      <sharedItems containsString="0" containsBlank="1" containsNumber="1" containsInteger="1" minValue="1" maxValue="9" count="7">
        <n v="4"/>
        <m/>
        <n v="3"/>
        <n v="2"/>
        <n v="5"/>
        <n v="1"/>
        <n v="9" u="1"/>
      </sharedItems>
    </cacheField>
    <cacheField name="F8" numFmtId="0">
      <sharedItems containsNonDate="0" containsString="0" containsBlank="1"/>
    </cacheField>
    <cacheField name="F9" numFmtId="0">
      <sharedItems containsString="0" containsBlank="1" containsNumber="1" containsInteger="1" minValue="1" maxValue="99" count="8">
        <n v="5"/>
        <m/>
        <n v="4"/>
        <n v="3"/>
        <n v="2"/>
        <n v="1"/>
        <n v="99" u="1"/>
        <n v="9" u="1"/>
      </sharedItems>
    </cacheField>
    <cacheField name="F10" numFmtId="0">
      <sharedItems containsNonDate="0" containsString="0" containsBlank="1"/>
    </cacheField>
    <cacheField name="F11" numFmtId="0">
      <sharedItems containsNonDate="0" containsString="0" containsBlank="1"/>
    </cacheField>
    <cacheField name="F12" numFmtId="0">
      <sharedItems containsNonDate="0" containsString="0" containsBlank="1"/>
    </cacheField>
    <cacheField name="F13" numFmtId="0">
      <sharedItems containsNonDate="0" containsString="0" containsBlank="1"/>
    </cacheField>
    <cacheField name="F14" numFmtId="0">
      <sharedItems containsNonDate="0" containsString="0" containsBlank="1"/>
    </cacheField>
    <cacheField name="F15" numFmtId="0">
      <sharedItems containsNonDate="0" containsString="0" containsBlank="1"/>
    </cacheField>
    <cacheField name="F16" numFmtId="0">
      <sharedItems containsNonDate="0" containsString="0" containsBlank="1"/>
    </cacheField>
    <cacheField name="F17" numFmtId="0">
      <sharedItems containsNonDate="0" containsString="0" containsBlank="1"/>
    </cacheField>
    <cacheField name="F18" numFmtId="0">
      <sharedItems containsNonDate="0" containsString="0" containsBlank="1"/>
    </cacheField>
    <cacheField name="F19" numFmtId="0">
      <sharedItems containsNonDate="0" containsString="0" containsBlank="1"/>
    </cacheField>
    <cacheField name="F20" numFmtId="0">
      <sharedItems containsNonDate="0" containsString="0" containsBlank="1"/>
    </cacheField>
    <cacheField name="F21" numFmtId="0">
      <sharedItems containsNonDate="0" containsString="0" containsBlank="1"/>
    </cacheField>
    <cacheField name="F22" numFmtId="0">
      <sharedItems containsString="0" containsBlank="1" containsNumber="1" containsInteger="1" minValue="1" maxValue="99" count="9">
        <n v="1"/>
        <n v="2"/>
        <n v="4"/>
        <m/>
        <n v="3"/>
        <n v="5"/>
        <n v="99" u="1"/>
        <n v="7" u="1"/>
        <n v="9" u="1"/>
      </sharedItems>
    </cacheField>
    <cacheField name="F23" numFmtId="0">
      <sharedItems containsString="0" containsBlank="1" containsNumber="1" containsInteger="1" minValue="1" maxValue="99" count="8">
        <n v="1"/>
        <n v="4"/>
        <n v="5"/>
        <n v="3"/>
        <n v="2"/>
        <n v="9"/>
        <m/>
        <n v="99" u="1"/>
      </sharedItems>
    </cacheField>
    <cacheField name="F24" numFmtId="0">
      <sharedItems containsString="0" containsBlank="1" containsNumber="1" containsInteger="1" minValue="1" maxValue="9" count="8">
        <n v="4"/>
        <n v="3"/>
        <n v="1"/>
        <m/>
        <n v="2"/>
        <n v="5"/>
        <n v="7" u="1"/>
        <n v="9" u="1"/>
      </sharedItems>
    </cacheField>
    <cacheField name="F25" numFmtId="0">
      <sharedItems containsNonDate="0" containsString="0" containsBlank="1"/>
    </cacheField>
    <cacheField name="F26" numFmtId="0">
      <sharedItems containsNonDate="0" containsString="0" containsBlank="1"/>
    </cacheField>
    <cacheField name="F27" numFmtId="0">
      <sharedItems containsString="0" containsBlank="1" containsNumber="1" containsInteger="1" minValue="1" maxValue="99" count="8">
        <n v="3"/>
        <m/>
        <n v="4"/>
        <n v="5"/>
        <n v="2"/>
        <n v="1"/>
        <n v="99" u="1"/>
        <n v="9" u="1"/>
      </sharedItems>
    </cacheField>
    <cacheField name="F28" numFmtId="0">
      <sharedItems containsNonDate="0" containsString="0" containsBlank="1"/>
    </cacheField>
    <cacheField name="F29" numFmtId="0">
      <sharedItems containsNonDate="0" containsString="0" containsBlank="1"/>
    </cacheField>
    <cacheField name="F30" numFmtId="0">
      <sharedItems containsNonDate="0" containsString="0" containsBlank="1"/>
    </cacheField>
    <cacheField name="F31" numFmtId="0">
      <sharedItems containsNonDate="0" containsString="0" containsBlank="1"/>
    </cacheField>
    <cacheField name="F32" numFmtId="0">
      <sharedItems containsNonDate="0" containsString="0" containsBlank="1"/>
    </cacheField>
    <cacheField name="F33" numFmtId="0">
      <sharedItems containsNonDate="0" containsString="0" containsBlank="1"/>
    </cacheField>
    <cacheField name="F34" numFmtId="0">
      <sharedItems containsString="0" containsBlank="1" containsNumber="1" containsInteger="1" minValue="1" maxValue="9" count="7">
        <n v="4"/>
        <n v="3"/>
        <n v="2"/>
        <n v="1"/>
        <n v="5"/>
        <m/>
        <n v="9" u="1"/>
      </sharedItems>
    </cacheField>
    <cacheField name="F35" numFmtId="0">
      <sharedItems containsString="0" containsBlank="1" containsNumber="1" containsInteger="1" minValue="1" maxValue="99" count="9">
        <n v="5"/>
        <m/>
        <n v="4"/>
        <n v="1"/>
        <n v="3"/>
        <n v="2"/>
        <n v="99" u="1"/>
        <n v="7" u="1"/>
        <n v="9" u="1"/>
      </sharedItems>
    </cacheField>
    <cacheField name="Mina lärare vet vad jag ska lära mig" numFmtId="0">
      <sharedItems containsString="0" containsBlank="1" containsNumber="1" containsInteger="1" minValue="1" maxValue="99" count="8">
        <n v="4"/>
        <m/>
        <n v="3"/>
        <n v="1"/>
        <n v="5"/>
        <n v="2"/>
        <n v="99" u="1"/>
        <n v="7" u="1"/>
      </sharedItems>
    </cacheField>
    <cacheField name="När jag vill lära mig mer får jag nya uppgifter" numFmtId="0">
      <sharedItems containsString="0" containsBlank="1" containsNumber="1" containsInteger="1" minValue="1" maxValue="99" count="8">
        <n v="5"/>
        <n v="4"/>
        <n v="3"/>
        <m/>
        <n v="1"/>
        <n v="2"/>
        <n v="99" u="1"/>
        <n v="7" u="1"/>
      </sharedItems>
    </cacheField>
    <cacheField name="Jag känner att jag lyckas i skolan" numFmtId="0">
      <sharedItems containsString="0" containsBlank="1" containsNumber="1" containsInteger="1" minValue="1" maxValue="5" count="6">
        <n v="5"/>
        <n v="4"/>
        <m/>
        <n v="2"/>
        <n v="3"/>
        <n v="1"/>
      </sharedItems>
    </cacheField>
    <cacheField name="Jag får lära mig på olika sätt exempelvis läsa, lyssna, se film, skriva" numFmtId="0">
      <sharedItems containsString="0" containsBlank="1" containsNumber="1" containsInteger="1" minValue="1" maxValue="5" count="6">
        <n v="5"/>
        <m/>
        <n v="4"/>
        <n v="3"/>
        <n v="2"/>
        <n v="1"/>
      </sharedItems>
    </cacheField>
    <cacheField name="På lektionerna pratar vi om sådant som vi hört och läst" numFmtId="0">
      <sharedItems containsString="0" containsBlank="1" containsNumber="1" containsInteger="1" minValue="1" maxValue="5" count="6">
        <n v="4"/>
        <m/>
        <n v="1"/>
        <n v="3"/>
        <n v="5"/>
        <n v="2"/>
      </sharedItems>
    </cacheField>
    <cacheField name="I skolan pratar vi om att alla är lika mycket värda " numFmtId="0">
      <sharedItems containsString="0" containsBlank="1" containsNumber="1" containsInteger="1" minValue="1" maxValue="5" count="6">
        <n v="4"/>
        <m/>
        <n v="3"/>
        <n v="5"/>
        <n v="2"/>
        <n v="1"/>
      </sharedItems>
    </cacheField>
    <cacheField name="Vi brukar prata om hur vi ska bemöta varandra" numFmtId="0">
      <sharedItems containsString="0" containsBlank="1" containsNumber="1" containsInteger="1" minValue="1" maxValue="5" count="6">
        <n v="4"/>
        <n v="3"/>
        <m/>
        <n v="1"/>
        <n v="5"/>
        <n v="2"/>
      </sharedItems>
    </cacheField>
    <cacheField name="Ingen i skolan gör skillnad på tjejer eller killar" numFmtId="0">
      <sharedItems containsString="0" containsBlank="1" containsNumber="1" containsInteger="1" minValue="1" maxValue="5" count="6">
        <n v="5"/>
        <n v="4"/>
        <m/>
        <n v="3"/>
        <n v="2"/>
        <n v="1"/>
      </sharedItems>
    </cacheField>
    <cacheField name="I min skola är vi snälla och lyssnar på varandra" numFmtId="0">
      <sharedItems containsString="0" containsBlank="1" containsNumber="1" containsInteger="1" minValue="1" maxValue="5" count="6">
        <n v="4"/>
        <m/>
        <n v="3"/>
        <n v="1"/>
        <n v="5"/>
        <n v="2"/>
      </sharedItems>
    </cacheField>
    <cacheField name="Jag får vara med och välja vad vi ska göra på lektionerna2" numFmtId="0">
      <sharedItems containsString="0" containsBlank="1" containsNumber="1" containsInteger="1" minValue="1" maxValue="5" count="6">
        <n v="2"/>
        <n v="3"/>
        <n v="4"/>
        <n v="5"/>
        <n v="1"/>
        <m/>
      </sharedItems>
    </cacheField>
    <cacheField name="I min skola är eleverna med och bestämmer trivselregler" numFmtId="0">
      <sharedItems containsString="0" containsBlank="1" containsNumber="1" containsInteger="1" minValue="1" maxValue="5" count="6">
        <n v="3"/>
        <m/>
        <n v="4"/>
        <n v="5"/>
        <n v="1"/>
        <n v="2"/>
      </sharedItems>
    </cacheField>
    <cacheField name="Mina lärare säger ifrån om någon behandlas illa eller blir kränkt2" numFmtId="0">
      <sharedItems containsString="0" containsBlank="1" containsNumber="1" containsInteger="1" minValue="1" maxValue="5" count="6">
        <n v="4"/>
        <n v="3"/>
        <m/>
        <n v="5"/>
        <n v="2"/>
        <n v="1"/>
      </sharedItems>
    </cacheField>
    <cacheField name="Det är lugnt i klassrummet " numFmtId="0">
      <sharedItems containsString="0" containsBlank="1" containsNumber="1" containsInteger="1" minValue="1" maxValue="5" count="6">
        <n v="3"/>
        <n v="4"/>
        <n v="2"/>
        <n v="1"/>
        <m/>
        <n v="5"/>
      </sharedItems>
    </cacheField>
    <cacheField name="Jag vet vem på skolan jag kan prata med om någon varit elak " numFmtId="0">
      <sharedItems containsString="0" containsBlank="1" containsNumber="1" containsInteger="1" minValue="1" maxValue="5" count="6">
        <n v="4"/>
        <m/>
        <n v="3"/>
        <n v="5"/>
        <n v="1"/>
        <n v="2"/>
      </sharedItems>
    </cacheField>
    <cacheField name="Maten på min skola är bra, sett till näringsinnehåll, utseende, smak och klimat- och miljöperspektiv" numFmtId="0">
      <sharedItems containsString="0" containsBlank="1" containsNumber="1" containsInteger="1" minValue="1" maxValue="5" count="6">
        <n v="2"/>
        <n v="4"/>
        <n v="1"/>
        <n v="3"/>
        <n v="5"/>
        <m/>
      </sharedItems>
    </cacheField>
    <cacheField name="Jag väljer att äta mig mätt i skolan" numFmtId="0">
      <sharedItems containsString="0" containsBlank="1" containsNumber="1" containsInteger="1" minValue="1" maxValue="5" count="6">
        <n v="5"/>
        <n v="4"/>
        <n v="3"/>
        <n v="1"/>
        <n v="2"/>
        <m/>
      </sharedItems>
    </cacheField>
    <cacheField name="Skolrestaurangen har en miljö som är trivsam att vara i " numFmtId="0">
      <sharedItems containsString="0" containsBlank="1" containsNumber="1" containsInteger="1" minValue="1" maxValue="5" count="6">
        <n v="5"/>
        <n v="4"/>
        <n v="3"/>
        <n v="2"/>
        <n v="1"/>
        <m/>
      </sharedItems>
    </cacheField>
    <cacheField name="De som jobbar i skolrestaurangen är trevliga och serviceinriktade" numFmtId="0">
      <sharedItems containsString="0" containsBlank="1" containsNumber="1" containsInteger="1" minValue="1" maxValue="5" count="6">
        <n v="2"/>
        <n v="4"/>
        <n v="5"/>
        <n v="3"/>
        <n v="1"/>
        <m/>
      </sharedItems>
    </cacheField>
    <cacheField name="Toaletterna är rena och fina" numFmtId="0">
      <sharedItems containsString="0" containsBlank="1" containsNumber="1" containsInteger="1" minValue="1" maxValue="5" count="6">
        <n v="5"/>
        <m/>
        <n v="4"/>
        <n v="3"/>
        <n v="2"/>
        <n v="1"/>
      </sharedItems>
    </cacheField>
    <cacheField name="Jag får veta vad man kan göra efter studenten " numFmtId="0">
      <sharedItems containsString="0" containsBlank="1" containsNumber="1" containsInteger="1" minValue="1" maxValue="9" count="7">
        <n v="4"/>
        <m/>
        <n v="5"/>
        <n v="3"/>
        <n v="1"/>
        <n v="2"/>
        <n v="9"/>
      </sharedItems>
    </cacheField>
    <cacheField name="Hur ofta brukar du vara med kompisar efter skolan och på helger" numFmtId="0">
      <sharedItems containsString="0" containsBlank="1" containsNumber="1" containsInteger="1" minValue="1" maxValue="3" count="4">
        <m/>
        <n v="3"/>
        <n v="2"/>
        <n v="1"/>
      </sharedItems>
    </cacheField>
    <cacheField name="Har du någon regelbunden aktivitet på din fritid" numFmtId="0">
      <sharedItems containsString="0" containsBlank="1" containsNumber="1" containsInteger="1" minValue="1" maxValue="2" count="3">
        <m/>
        <n v="2"/>
        <n v="1"/>
      </sharedItems>
    </cacheField>
    <cacheField name="Kan du prata med någon av dina föräldrar om du har problem eller oro" numFmtId="0">
      <sharedItems containsString="0" containsBlank="1" containsNumber="1" containsInteger="1" minValue="1" maxValue="3" count="4">
        <m/>
        <n v="1"/>
        <n v="3"/>
        <n v="2"/>
      </sharedItems>
    </cacheField>
    <cacheField name="Hur ser du på din framtid" numFmtId="0">
      <sharedItems containsString="0" containsBlank="1" containsNumber="1" containsInteger="1" minValue="1" maxValue="3" count="4">
        <m/>
        <n v="2"/>
        <n v="1"/>
        <n v="3"/>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4992.397856018521" createdVersion="6" refreshedVersion="6" minRefreshableVersion="3" recordCount="563" xr:uid="{817275A3-D386-40AC-9268-5FA55092A7FD}">
  <cacheSource type="worksheet">
    <worksheetSource name="Tabell22"/>
  </cacheSource>
  <cacheFields count="60">
    <cacheField name="Utförare" numFmtId="0">
      <sharedItems containsNonDate="0" containsString="0" containsBlank="1"/>
    </cacheField>
    <cacheField name="År" numFmtId="0">
      <sharedItems containsSemiMixedTypes="0" containsString="0" containsNumber="1" containsInteger="1" minValue="2018" maxValue="2023" count="6">
        <n v="2018"/>
        <n v="2019"/>
        <n v="2020"/>
        <n v="2021"/>
        <n v="2022"/>
        <n v="2023"/>
      </sharedItems>
    </cacheField>
    <cacheField name="F2" numFmtId="0">
      <sharedItems containsBlank="1" count="10">
        <s v="Carlforsska gymnasiet"/>
        <s v="Edströmska gymnasiet"/>
        <s v="Hahrska gymnasiet"/>
        <s v="Tranellska gymnasiet"/>
        <s v="Lidmanska gymnasiet"/>
        <s v="Carlforsskas Ekonomi- och handelsskola" u="1"/>
        <m u="1"/>
        <s v="Edströmska" u="1"/>
        <s v="Lidmanska" u="1"/>
        <s v="Carlforsska Ekonomi- och handelsskola" u="1"/>
      </sharedItems>
    </cacheField>
    <cacheField name="Kön" numFmtId="0">
      <sharedItems containsBlank="1" containsMixedTypes="1" containsNumber="1" containsInteger="1" minValue="1" maxValue="3" count="7">
        <s v="Flicka"/>
        <s v="Pojke"/>
        <s v="Annat/vill inte svara"/>
        <m/>
        <n v="3" u="1"/>
        <n v="2" u="1"/>
        <n v="1" u="1"/>
      </sharedItems>
    </cacheField>
    <cacheField name="F4" numFmtId="0">
      <sharedItems containsString="0" containsBlank="1" containsNumber="1" containsInteger="1" minValue="1" maxValue="9"/>
    </cacheField>
    <cacheField name="F5" numFmtId="0">
      <sharedItems containsString="0" containsBlank="1" containsNumber="1" containsInteger="1" minValue="1" maxValue="9"/>
    </cacheField>
    <cacheField name="F6" numFmtId="0">
      <sharedItems containsString="0" containsBlank="1" containsNumber="1" containsInteger="1" minValue="1" maxValue="9"/>
    </cacheField>
    <cacheField name="F7" numFmtId="0">
      <sharedItems containsBlank="1" containsMixedTypes="1" containsNumber="1" minValue="0" maxValue="10" count="7">
        <n v="10"/>
        <n v="6.67"/>
        <n v="3.33"/>
        <s v="-"/>
        <m/>
        <s v=" "/>
        <n v="0"/>
      </sharedItems>
    </cacheField>
    <cacheField name="F8" numFmtId="0">
      <sharedItems containsString="0" containsBlank="1" containsNumber="1" containsInteger="1" minValue="1" maxValue="9"/>
    </cacheField>
    <cacheField name="F9" numFmtId="0">
      <sharedItems containsBlank="1" containsMixedTypes="1" containsNumber="1" minValue="0" maxValue="10" count="7">
        <n v="10"/>
        <n v="3.33"/>
        <n v="6.67"/>
        <s v="-"/>
        <n v="0"/>
        <m/>
        <s v=" "/>
      </sharedItems>
    </cacheField>
    <cacheField name="F10" numFmtId="0">
      <sharedItems containsString="0" containsBlank="1" containsNumber="1" containsInteger="1" minValue="1" maxValue="9"/>
    </cacheField>
    <cacheField name="F11" numFmtId="0">
      <sharedItems containsString="0" containsBlank="1" containsNumber="1" containsInteger="1" minValue="1" maxValue="9"/>
    </cacheField>
    <cacheField name="F12" numFmtId="0">
      <sharedItems containsString="0" containsBlank="1" containsNumber="1" containsInteger="1" minValue="1" maxValue="9"/>
    </cacheField>
    <cacheField name="F13" numFmtId="0">
      <sharedItems containsString="0" containsBlank="1" containsNumber="1" containsInteger="1" minValue="2" maxValue="9"/>
    </cacheField>
    <cacheField name="F14" numFmtId="0">
      <sharedItems containsString="0" containsBlank="1" containsNumber="1" containsInteger="1" minValue="1" maxValue="9"/>
    </cacheField>
    <cacheField name="F15" numFmtId="0">
      <sharedItems containsString="0" containsBlank="1" containsNumber="1" containsInteger="1" minValue="1" maxValue="9"/>
    </cacheField>
    <cacheField name="F16" numFmtId="0">
      <sharedItems containsString="0" containsBlank="1" containsNumber="1" containsInteger="1" minValue="1" maxValue="9"/>
    </cacheField>
    <cacheField name="F17" numFmtId="0">
      <sharedItems containsString="0" containsBlank="1" containsNumber="1" containsInteger="1" minValue="1" maxValue="9"/>
    </cacheField>
    <cacheField name="F18" numFmtId="0">
      <sharedItems containsString="0" containsBlank="1" containsNumber="1" containsInteger="1" minValue="1" maxValue="9"/>
    </cacheField>
    <cacheField name="F19" numFmtId="0">
      <sharedItems containsString="0" containsBlank="1" containsNumber="1" containsInteger="1" minValue="1" maxValue="9"/>
    </cacheField>
    <cacheField name="F20" numFmtId="0">
      <sharedItems containsString="0" containsBlank="1" containsNumber="1" containsInteger="1" minValue="1" maxValue="9"/>
    </cacheField>
    <cacheField name="F21" numFmtId="0">
      <sharedItems containsString="0" containsBlank="1" containsNumber="1" containsInteger="1" minValue="1" maxValue="9"/>
    </cacheField>
    <cacheField name="F22" numFmtId="0">
      <sharedItems containsBlank="1" containsMixedTypes="1" containsNumber="1" minValue="0" maxValue="10" count="8">
        <n v="10"/>
        <s v="-"/>
        <n v="3.33"/>
        <n v="6.67"/>
        <m/>
        <n v="0"/>
        <s v=" "/>
        <n v="5"/>
      </sharedItems>
    </cacheField>
    <cacheField name="F23" numFmtId="0">
      <sharedItems containsBlank="1" containsMixedTypes="1" containsNumber="1" minValue="0" maxValue="10" count="8">
        <n v="10"/>
        <n v="6.67"/>
        <n v="0"/>
        <s v="-"/>
        <m/>
        <n v="3.33"/>
        <s v=" "/>
        <n v="5"/>
      </sharedItems>
    </cacheField>
    <cacheField name="F24" numFmtId="0">
      <sharedItems containsBlank="1" containsMixedTypes="1" containsNumber="1" minValue="0" maxValue="10" count="8">
        <n v="10"/>
        <n v="6.67"/>
        <n v="3.33"/>
        <n v="0"/>
        <s v="-"/>
        <m/>
        <s v=" "/>
        <n v="5"/>
      </sharedItems>
    </cacheField>
    <cacheField name="F25" numFmtId="0">
      <sharedItems containsString="0" containsBlank="1" containsNumber="1" containsInteger="1" minValue="1" maxValue="9"/>
    </cacheField>
    <cacheField name="F26" numFmtId="0">
      <sharedItems containsString="0" containsBlank="1" containsNumber="1" containsInteger="1" minValue="2" maxValue="9"/>
    </cacheField>
    <cacheField name="F27" numFmtId="0">
      <sharedItems containsBlank="1" containsMixedTypes="1" containsNumber="1" minValue="0" maxValue="10" count="8">
        <n v="10"/>
        <n v="6.67"/>
        <m/>
        <s v="-"/>
        <n v="0"/>
        <n v="3.33"/>
        <s v=" "/>
        <n v="1"/>
      </sharedItems>
    </cacheField>
    <cacheField name="F28" numFmtId="0">
      <sharedItems containsString="0" containsBlank="1" containsNumber="1" containsInteger="1" minValue="1" maxValue="9"/>
    </cacheField>
    <cacheField name="F29" numFmtId="0">
      <sharedItems containsString="0" containsBlank="1" containsNumber="1" containsInteger="1" minValue="1" maxValue="9"/>
    </cacheField>
    <cacheField name="F30" numFmtId="0">
      <sharedItems containsString="0" containsBlank="1" containsNumber="1" containsInteger="1" minValue="1" maxValue="9"/>
    </cacheField>
    <cacheField name="F31" numFmtId="0">
      <sharedItems containsString="0" containsBlank="1" containsNumber="1" containsInteger="1" minValue="1" maxValue="9"/>
    </cacheField>
    <cacheField name="F32" numFmtId="0">
      <sharedItems containsString="0" containsBlank="1" containsNumber="1" containsInteger="1" minValue="1" maxValue="9"/>
    </cacheField>
    <cacheField name="F33" numFmtId="0">
      <sharedItems containsString="0" containsBlank="1" containsNumber="1" containsInteger="1" minValue="1" maxValue="9"/>
    </cacheField>
    <cacheField name="F34" numFmtId="0">
      <sharedItems containsBlank="1" containsMixedTypes="1" containsNumber="1" minValue="0" maxValue="10" count="8">
        <n v="10"/>
        <n v="6.67"/>
        <n v="3.33"/>
        <s v="-"/>
        <n v="0"/>
        <m/>
        <s v=" "/>
        <n v="1"/>
      </sharedItems>
    </cacheField>
    <cacheField name="F35" numFmtId="0">
      <sharedItems containsBlank="1" containsMixedTypes="1" containsNumber="1" minValue="0" maxValue="10" count="7">
        <n v="10"/>
        <n v="0"/>
        <n v="6.67"/>
        <s v="-"/>
        <n v="3.33"/>
        <m/>
        <s v=" "/>
      </sharedItems>
    </cacheField>
    <cacheField name="Mina lärare vet vad jag ska lära mig" numFmtId="0">
      <sharedItems containsBlank="1" containsMixedTypes="1" containsNumber="1" minValue="0" maxValue="10" count="7">
        <m/>
        <n v="10"/>
        <n v="6.67"/>
        <n v="0"/>
        <s v="-"/>
        <n v="3.33"/>
        <s v=" "/>
      </sharedItems>
    </cacheField>
    <cacheField name="När jag vill lära mig mer får jag nya uppgifter" numFmtId="0">
      <sharedItems containsBlank="1" containsMixedTypes="1" containsNumber="1" minValue="0" maxValue="10" count="7">
        <m/>
        <s v="-"/>
        <n v="10"/>
        <n v="6.67"/>
        <n v="0"/>
        <n v="3.33"/>
        <s v=" "/>
      </sharedItems>
    </cacheField>
    <cacheField name="Jag känner att jag lyckas i skolan" numFmtId="0">
      <sharedItems containsBlank="1" containsMixedTypes="1" containsNumber="1" minValue="0" maxValue="10" count="7">
        <m/>
        <s v="-"/>
        <n v="10"/>
        <n v="3.33"/>
        <n v="6.67"/>
        <n v="0"/>
        <s v=" "/>
      </sharedItems>
    </cacheField>
    <cacheField name="Jag får lära mig på olika sätt exempelvis läsa, lyssna, se film, skriva" numFmtId="0">
      <sharedItems containsBlank="1" containsMixedTypes="1" containsNumber="1" minValue="0" maxValue="10" count="7">
        <m/>
        <s v="-"/>
        <n v="10"/>
        <n v="6.67"/>
        <n v="3.33"/>
        <n v="0"/>
        <s v=" "/>
      </sharedItems>
    </cacheField>
    <cacheField name="På lektionerna pratar vi om sådant som vi hört och läst" numFmtId="0">
      <sharedItems containsBlank="1" containsMixedTypes="1" containsNumber="1" minValue="0" maxValue="10" count="7">
        <m/>
        <n v="10"/>
        <n v="0"/>
        <n v="6.67"/>
        <s v="-"/>
        <n v="3.33"/>
        <s v=" "/>
      </sharedItems>
    </cacheField>
    <cacheField name="I skolan pratar vi om att alla är lika mycket värda " numFmtId="0">
      <sharedItems containsBlank="1" containsMixedTypes="1" containsNumber="1" minValue="0" maxValue="10" count="7">
        <m/>
        <n v="10"/>
        <n v="6.67"/>
        <s v="-"/>
        <n v="3.33"/>
        <n v="0"/>
        <s v=" "/>
      </sharedItems>
    </cacheField>
    <cacheField name="Vi brukar prata om hur vi ska bemöta varandra" numFmtId="0">
      <sharedItems containsBlank="1" containsMixedTypes="1" containsNumber="1" minValue="0" maxValue="10" count="8">
        <m/>
        <n v="10"/>
        <n v="6.67"/>
        <n v="0"/>
        <s v="-"/>
        <n v="3.33"/>
        <s v=" "/>
        <n v="1"/>
      </sharedItems>
    </cacheField>
    <cacheField name="Ingen i skolan gör skillnad på tjejer eller killar" numFmtId="0">
      <sharedItems containsBlank="1" containsMixedTypes="1" containsNumber="1" minValue="0" maxValue="10" count="8">
        <m/>
        <s v="-"/>
        <n v="10"/>
        <n v="6.67"/>
        <n v="3.33"/>
        <n v="0"/>
        <s v=" "/>
        <n v="1"/>
      </sharedItems>
    </cacheField>
    <cacheField name="I min skola är vi snälla och lyssnar på varandra" numFmtId="0">
      <sharedItems containsBlank="1" containsMixedTypes="1" containsNumber="1" minValue="0" maxValue="10" count="7">
        <m/>
        <n v="10"/>
        <n v="6.67"/>
        <n v="0"/>
        <s v="-"/>
        <n v="3.33"/>
        <s v=" "/>
      </sharedItems>
    </cacheField>
    <cacheField name="Jag får vara med och välja vad vi ska göra på lektionerna2" numFmtId="0">
      <sharedItems containsBlank="1" containsMixedTypes="1" containsNumber="1" minValue="0" maxValue="10" count="7">
        <m/>
        <n v="3.33"/>
        <n v="6.67"/>
        <n v="10"/>
        <s v="-"/>
        <n v="0"/>
        <s v=" "/>
      </sharedItems>
    </cacheField>
    <cacheField name="I min skola är eleverna med och bestämmer trivselregler" numFmtId="0">
      <sharedItems containsBlank="1" containsMixedTypes="1" containsNumber="1" minValue="0" maxValue="10" count="7">
        <m/>
        <n v="6.67"/>
        <n v="10"/>
        <s v="-"/>
        <n v="0"/>
        <n v="3.33"/>
        <s v=" "/>
      </sharedItems>
    </cacheField>
    <cacheField name="Mina lärare säger ifrån om någon behandlas illa eller blir kränkt2" numFmtId="0">
      <sharedItems containsBlank="1" containsMixedTypes="1" containsNumber="1" minValue="0" maxValue="10" count="7">
        <m/>
        <n v="10"/>
        <n v="6.67"/>
        <s v="-"/>
        <n v="3.33"/>
        <n v="0"/>
        <s v=" "/>
      </sharedItems>
    </cacheField>
    <cacheField name="Det är lugnt i klassrummet " numFmtId="0">
      <sharedItems containsBlank="1" containsMixedTypes="1" containsNumber="1" minValue="0" maxValue="10" count="8">
        <m/>
        <n v="6.67"/>
        <n v="10"/>
        <n v="3.33"/>
        <n v="0"/>
        <s v="-"/>
        <s v=" "/>
        <n v="1"/>
      </sharedItems>
    </cacheField>
    <cacheField name="Jag vet vem på skolan jag kan prata med om någon varit elak " numFmtId="0">
      <sharedItems containsBlank="1" containsMixedTypes="1" containsNumber="1" minValue="0" maxValue="10" count="7">
        <m/>
        <n v="10"/>
        <n v="6.67"/>
        <s v="-"/>
        <n v="0"/>
        <s v=" "/>
        <n v="3.33"/>
      </sharedItems>
    </cacheField>
    <cacheField name="Maten på min skola är bra, sett till näringsinnehåll, utseende, smak och klimat- och miljöperspektiv" numFmtId="0">
      <sharedItems containsBlank="1" containsMixedTypes="1" containsNumber="1" minValue="0" maxValue="10" count="8">
        <m/>
        <n v="3.33"/>
        <n v="10"/>
        <n v="0"/>
        <n v="6.67"/>
        <s v="-"/>
        <s v=" "/>
        <n v="1"/>
      </sharedItems>
    </cacheField>
    <cacheField name="Jag väljer att äta mig mätt i skolan" numFmtId="0">
      <sharedItems containsBlank="1" containsMixedTypes="1" containsNumber="1" minValue="0" maxValue="10" count="7">
        <m/>
        <s v="-"/>
        <n v="10"/>
        <n v="6.67"/>
        <n v="0"/>
        <n v="3.33"/>
        <s v=" "/>
      </sharedItems>
    </cacheField>
    <cacheField name="Skolrestaurangen har en miljö som är trivsam att vara i " numFmtId="0">
      <sharedItems containsBlank="1" containsMixedTypes="1" containsNumber="1" minValue="0" maxValue="10" count="8">
        <m/>
        <s v="-"/>
        <n v="10"/>
        <n v="6.67"/>
        <n v="3.33"/>
        <n v="0"/>
        <s v=" "/>
        <n v="1"/>
      </sharedItems>
    </cacheField>
    <cacheField name="De som jobbar i skolrestaurangen är trevliga och serviceinriktade" numFmtId="0">
      <sharedItems containsBlank="1" containsMixedTypes="1" containsNumber="1" minValue="0" maxValue="10" count="7">
        <m/>
        <n v="3.33"/>
        <n v="10"/>
        <s v="-"/>
        <n v="6.67"/>
        <n v="0"/>
        <s v=" "/>
      </sharedItems>
    </cacheField>
    <cacheField name="Toaletterna är rena och fina" numFmtId="0">
      <sharedItems containsBlank="1" containsMixedTypes="1" containsNumber="1" minValue="0" maxValue="10" count="8">
        <m/>
        <s v="-"/>
        <n v="10"/>
        <n v="6.67"/>
        <n v="3.33"/>
        <n v="0"/>
        <s v=" "/>
        <n v="1"/>
      </sharedItems>
    </cacheField>
    <cacheField name="Jag får veta vad man kan göra efter studenten " numFmtId="0">
      <sharedItems containsBlank="1" containsMixedTypes="1" containsNumber="1" minValue="0" maxValue="10" count="7">
        <m/>
        <n v="10"/>
        <s v="-"/>
        <n v="6.67"/>
        <n v="0"/>
        <n v="3.33"/>
        <s v=" "/>
      </sharedItems>
    </cacheField>
    <cacheField name="Hur ofta brukar du vara med kompisar efter skolan och på helger" numFmtId="0">
      <sharedItems containsString="0" containsBlank="1" containsNumber="1" minValue="0" maxValue="10"/>
    </cacheField>
    <cacheField name="Har du någon regelbunden aktivitet på din fritid" numFmtId="0">
      <sharedItems containsString="0" containsBlank="1" containsNumber="1" minValue="0" maxValue="10"/>
    </cacheField>
    <cacheField name="Kan du prata med någon av dina föräldrar om du har problem eller oro" numFmtId="0">
      <sharedItems containsString="0" containsBlank="1" containsNumber="1" minValue="0" maxValue="10"/>
    </cacheField>
    <cacheField name="Hur ser du på din framtid" numFmtId="0">
      <sharedItems containsString="0" containsBlank="1" containsNumber="1" minValue="0" maxValue="10"/>
    </cacheField>
  </cacheFields>
  <extLst>
    <ext xmlns:x14="http://schemas.microsoft.com/office/spreadsheetml/2009/9/main" uri="{725AE2AE-9491-48be-B2B4-4EB974FC3084}">
      <x14:pivotCacheDefinition pivotCacheId="452613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6">
  <r>
    <m/>
    <x v="0"/>
    <x v="0"/>
    <x v="0"/>
    <m/>
    <m/>
    <m/>
    <x v="0"/>
    <m/>
    <x v="0"/>
    <m/>
    <m/>
    <m/>
    <m/>
    <m/>
    <m/>
    <m/>
    <m/>
    <m/>
    <m/>
    <m/>
    <m/>
    <x v="0"/>
    <x v="0"/>
    <x v="0"/>
    <m/>
    <m/>
    <x v="0"/>
    <m/>
    <m/>
    <m/>
    <m/>
    <m/>
    <m/>
    <x v="0"/>
    <x v="0"/>
    <x v="0"/>
    <x v="0"/>
    <x v="0"/>
    <x v="0"/>
    <x v="0"/>
    <x v="0"/>
    <x v="0"/>
    <x v="0"/>
    <x v="0"/>
    <x v="0"/>
    <x v="0"/>
    <x v="0"/>
    <x v="0"/>
    <x v="0"/>
    <x v="0"/>
    <x v="0"/>
    <x v="0"/>
    <x v="0"/>
    <x v="0"/>
    <x v="0"/>
    <x v="0"/>
    <x v="0"/>
    <x v="0"/>
    <x v="0"/>
  </r>
  <r>
    <m/>
    <x v="0"/>
    <x v="0"/>
    <x v="1"/>
    <m/>
    <m/>
    <m/>
    <x v="0"/>
    <m/>
    <x v="1"/>
    <m/>
    <m/>
    <m/>
    <m/>
    <m/>
    <m/>
    <m/>
    <m/>
    <m/>
    <m/>
    <m/>
    <m/>
    <x v="1"/>
    <x v="0"/>
    <x v="1"/>
    <m/>
    <m/>
    <x v="1"/>
    <m/>
    <m/>
    <m/>
    <m/>
    <m/>
    <m/>
    <x v="0"/>
    <x v="1"/>
    <x v="1"/>
    <x v="1"/>
    <x v="1"/>
    <x v="1"/>
    <x v="0"/>
    <x v="1"/>
    <x v="0"/>
    <x v="1"/>
    <x v="1"/>
    <x v="1"/>
    <x v="1"/>
    <x v="0"/>
    <x v="1"/>
    <x v="1"/>
    <x v="1"/>
    <x v="1"/>
    <x v="1"/>
    <x v="1"/>
    <x v="1"/>
    <x v="1"/>
    <x v="0"/>
    <x v="0"/>
    <x v="0"/>
    <x v="0"/>
  </r>
  <r>
    <m/>
    <x v="0"/>
    <x v="0"/>
    <x v="0"/>
    <m/>
    <m/>
    <m/>
    <x v="0"/>
    <m/>
    <x v="2"/>
    <m/>
    <m/>
    <m/>
    <m/>
    <m/>
    <m/>
    <m/>
    <m/>
    <m/>
    <m/>
    <m/>
    <m/>
    <x v="2"/>
    <x v="1"/>
    <x v="0"/>
    <m/>
    <m/>
    <x v="2"/>
    <m/>
    <m/>
    <m/>
    <m/>
    <m/>
    <m/>
    <x v="1"/>
    <x v="2"/>
    <x v="2"/>
    <x v="1"/>
    <x v="1"/>
    <x v="2"/>
    <x v="0"/>
    <x v="0"/>
    <x v="0"/>
    <x v="1"/>
    <x v="0"/>
    <x v="2"/>
    <x v="2"/>
    <x v="0"/>
    <x v="1"/>
    <x v="0"/>
    <x v="1"/>
    <x v="1"/>
    <x v="1"/>
    <x v="1"/>
    <x v="2"/>
    <x v="0"/>
    <x v="0"/>
    <x v="0"/>
    <x v="0"/>
    <x v="0"/>
  </r>
  <r>
    <m/>
    <x v="0"/>
    <x v="0"/>
    <x v="1"/>
    <m/>
    <m/>
    <m/>
    <x v="0"/>
    <m/>
    <x v="2"/>
    <m/>
    <m/>
    <m/>
    <m/>
    <m/>
    <m/>
    <m/>
    <m/>
    <m/>
    <m/>
    <m/>
    <m/>
    <x v="2"/>
    <x v="0"/>
    <x v="0"/>
    <m/>
    <m/>
    <x v="3"/>
    <m/>
    <m/>
    <m/>
    <m/>
    <m/>
    <m/>
    <x v="0"/>
    <x v="0"/>
    <x v="0"/>
    <x v="2"/>
    <x v="1"/>
    <x v="2"/>
    <x v="0"/>
    <x v="2"/>
    <x v="1"/>
    <x v="1"/>
    <x v="0"/>
    <x v="1"/>
    <x v="0"/>
    <x v="1"/>
    <x v="1"/>
    <x v="2"/>
    <x v="1"/>
    <x v="1"/>
    <x v="2"/>
    <x v="1"/>
    <x v="3"/>
    <x v="2"/>
    <x v="0"/>
    <x v="0"/>
    <x v="0"/>
    <x v="0"/>
  </r>
  <r>
    <m/>
    <x v="0"/>
    <x v="0"/>
    <x v="1"/>
    <m/>
    <m/>
    <m/>
    <x v="1"/>
    <m/>
    <x v="1"/>
    <m/>
    <m/>
    <m/>
    <m/>
    <m/>
    <m/>
    <m/>
    <m/>
    <m/>
    <m/>
    <m/>
    <m/>
    <x v="3"/>
    <x v="0"/>
    <x v="0"/>
    <m/>
    <m/>
    <x v="1"/>
    <m/>
    <m/>
    <m/>
    <m/>
    <m/>
    <m/>
    <x v="0"/>
    <x v="1"/>
    <x v="1"/>
    <x v="3"/>
    <x v="2"/>
    <x v="1"/>
    <x v="1"/>
    <x v="1"/>
    <x v="2"/>
    <x v="2"/>
    <x v="1"/>
    <x v="2"/>
    <x v="1"/>
    <x v="2"/>
    <x v="1"/>
    <x v="2"/>
    <x v="1"/>
    <x v="1"/>
    <x v="1"/>
    <x v="1"/>
    <x v="1"/>
    <x v="1"/>
    <x v="0"/>
    <x v="0"/>
    <x v="0"/>
    <x v="0"/>
  </r>
  <r>
    <m/>
    <x v="0"/>
    <x v="0"/>
    <x v="0"/>
    <m/>
    <m/>
    <m/>
    <x v="0"/>
    <m/>
    <x v="2"/>
    <m/>
    <m/>
    <m/>
    <m/>
    <m/>
    <m/>
    <m/>
    <m/>
    <m/>
    <m/>
    <m/>
    <m/>
    <x v="1"/>
    <x v="0"/>
    <x v="0"/>
    <m/>
    <m/>
    <x v="1"/>
    <m/>
    <m/>
    <m/>
    <m/>
    <m/>
    <m/>
    <x v="0"/>
    <x v="1"/>
    <x v="1"/>
    <x v="1"/>
    <x v="1"/>
    <x v="2"/>
    <x v="0"/>
    <x v="1"/>
    <x v="0"/>
    <x v="1"/>
    <x v="1"/>
    <x v="1"/>
    <x v="1"/>
    <x v="0"/>
    <x v="1"/>
    <x v="1"/>
    <x v="1"/>
    <x v="1"/>
    <x v="1"/>
    <x v="1"/>
    <x v="1"/>
    <x v="1"/>
    <x v="0"/>
    <x v="0"/>
    <x v="0"/>
    <x v="0"/>
  </r>
  <r>
    <m/>
    <x v="0"/>
    <x v="0"/>
    <x v="1"/>
    <m/>
    <m/>
    <m/>
    <x v="0"/>
    <m/>
    <x v="2"/>
    <m/>
    <m/>
    <m/>
    <m/>
    <m/>
    <m/>
    <m/>
    <m/>
    <m/>
    <m/>
    <m/>
    <m/>
    <x v="1"/>
    <x v="0"/>
    <x v="0"/>
    <m/>
    <m/>
    <x v="1"/>
    <m/>
    <m/>
    <m/>
    <m/>
    <m/>
    <m/>
    <x v="0"/>
    <x v="1"/>
    <x v="1"/>
    <x v="1"/>
    <x v="1"/>
    <x v="2"/>
    <x v="0"/>
    <x v="1"/>
    <x v="0"/>
    <x v="1"/>
    <x v="1"/>
    <x v="1"/>
    <x v="1"/>
    <x v="0"/>
    <x v="1"/>
    <x v="1"/>
    <x v="1"/>
    <x v="1"/>
    <x v="1"/>
    <x v="1"/>
    <x v="1"/>
    <x v="1"/>
    <x v="0"/>
    <x v="0"/>
    <x v="0"/>
    <x v="0"/>
  </r>
  <r>
    <m/>
    <x v="0"/>
    <x v="0"/>
    <x v="0"/>
    <m/>
    <m/>
    <m/>
    <x v="0"/>
    <m/>
    <x v="2"/>
    <m/>
    <m/>
    <m/>
    <m/>
    <m/>
    <m/>
    <m/>
    <m/>
    <m/>
    <m/>
    <m/>
    <m/>
    <x v="0"/>
    <x v="1"/>
    <x v="0"/>
    <m/>
    <m/>
    <x v="2"/>
    <m/>
    <m/>
    <m/>
    <m/>
    <m/>
    <m/>
    <x v="0"/>
    <x v="2"/>
    <x v="3"/>
    <x v="1"/>
    <x v="1"/>
    <x v="2"/>
    <x v="2"/>
    <x v="0"/>
    <x v="0"/>
    <x v="1"/>
    <x v="0"/>
    <x v="2"/>
    <x v="2"/>
    <x v="0"/>
    <x v="1"/>
    <x v="0"/>
    <x v="1"/>
    <x v="1"/>
    <x v="1"/>
    <x v="0"/>
    <x v="1"/>
    <x v="0"/>
    <x v="0"/>
    <x v="0"/>
    <x v="0"/>
    <x v="0"/>
  </r>
  <r>
    <m/>
    <x v="0"/>
    <x v="0"/>
    <x v="0"/>
    <m/>
    <m/>
    <m/>
    <x v="2"/>
    <m/>
    <x v="2"/>
    <m/>
    <m/>
    <m/>
    <m/>
    <m/>
    <m/>
    <m/>
    <m/>
    <m/>
    <m/>
    <m/>
    <m/>
    <x v="0"/>
    <x v="0"/>
    <x v="0"/>
    <m/>
    <m/>
    <x v="2"/>
    <m/>
    <m/>
    <m/>
    <m/>
    <m/>
    <m/>
    <x v="0"/>
    <x v="2"/>
    <x v="1"/>
    <x v="2"/>
    <x v="1"/>
    <x v="2"/>
    <x v="3"/>
    <x v="2"/>
    <x v="1"/>
    <x v="3"/>
    <x v="0"/>
    <x v="1"/>
    <x v="0"/>
    <x v="0"/>
    <x v="1"/>
    <x v="0"/>
    <x v="1"/>
    <x v="2"/>
    <x v="1"/>
    <x v="1"/>
    <x v="2"/>
    <x v="0"/>
    <x v="0"/>
    <x v="0"/>
    <x v="0"/>
    <x v="0"/>
  </r>
  <r>
    <m/>
    <x v="0"/>
    <x v="0"/>
    <x v="0"/>
    <m/>
    <m/>
    <m/>
    <x v="0"/>
    <m/>
    <x v="2"/>
    <m/>
    <m/>
    <m/>
    <m/>
    <m/>
    <m/>
    <m/>
    <m/>
    <m/>
    <m/>
    <m/>
    <m/>
    <x v="0"/>
    <x v="0"/>
    <x v="0"/>
    <m/>
    <m/>
    <x v="2"/>
    <m/>
    <m/>
    <m/>
    <m/>
    <m/>
    <m/>
    <x v="0"/>
    <x v="2"/>
    <x v="0"/>
    <x v="1"/>
    <x v="1"/>
    <x v="2"/>
    <x v="4"/>
    <x v="3"/>
    <x v="0"/>
    <x v="0"/>
    <x v="0"/>
    <x v="2"/>
    <x v="2"/>
    <x v="0"/>
    <x v="1"/>
    <x v="0"/>
    <x v="1"/>
    <x v="1"/>
    <x v="1"/>
    <x v="1"/>
    <x v="2"/>
    <x v="2"/>
    <x v="0"/>
    <x v="0"/>
    <x v="0"/>
    <x v="0"/>
  </r>
  <r>
    <m/>
    <x v="0"/>
    <x v="0"/>
    <x v="0"/>
    <m/>
    <m/>
    <m/>
    <x v="0"/>
    <m/>
    <x v="2"/>
    <m/>
    <m/>
    <m/>
    <m/>
    <m/>
    <m/>
    <m/>
    <m/>
    <m/>
    <m/>
    <m/>
    <m/>
    <x v="4"/>
    <x v="0"/>
    <x v="0"/>
    <m/>
    <m/>
    <x v="2"/>
    <m/>
    <m/>
    <m/>
    <m/>
    <m/>
    <m/>
    <x v="0"/>
    <x v="2"/>
    <x v="0"/>
    <x v="1"/>
    <x v="1"/>
    <x v="2"/>
    <x v="0"/>
    <x v="0"/>
    <x v="1"/>
    <x v="1"/>
    <x v="0"/>
    <x v="2"/>
    <x v="2"/>
    <x v="0"/>
    <x v="1"/>
    <x v="0"/>
    <x v="0"/>
    <x v="1"/>
    <x v="1"/>
    <x v="0"/>
    <x v="2"/>
    <x v="0"/>
    <x v="0"/>
    <x v="0"/>
    <x v="0"/>
    <x v="0"/>
  </r>
  <r>
    <m/>
    <x v="0"/>
    <x v="0"/>
    <x v="0"/>
    <m/>
    <m/>
    <m/>
    <x v="0"/>
    <m/>
    <x v="2"/>
    <m/>
    <m/>
    <m/>
    <m/>
    <m/>
    <m/>
    <m/>
    <m/>
    <m/>
    <m/>
    <m/>
    <m/>
    <x v="0"/>
    <x v="0"/>
    <x v="0"/>
    <m/>
    <m/>
    <x v="2"/>
    <m/>
    <m/>
    <m/>
    <m/>
    <m/>
    <m/>
    <x v="0"/>
    <x v="2"/>
    <x v="0"/>
    <x v="1"/>
    <x v="1"/>
    <x v="2"/>
    <x v="0"/>
    <x v="0"/>
    <x v="0"/>
    <x v="0"/>
    <x v="0"/>
    <x v="2"/>
    <x v="2"/>
    <x v="0"/>
    <x v="1"/>
    <x v="0"/>
    <x v="2"/>
    <x v="1"/>
    <x v="1"/>
    <x v="0"/>
    <x v="2"/>
    <x v="0"/>
    <x v="0"/>
    <x v="0"/>
    <x v="0"/>
    <x v="0"/>
  </r>
  <r>
    <m/>
    <x v="0"/>
    <x v="0"/>
    <x v="1"/>
    <m/>
    <m/>
    <m/>
    <x v="0"/>
    <m/>
    <x v="2"/>
    <m/>
    <m/>
    <m/>
    <m/>
    <m/>
    <m/>
    <m/>
    <m/>
    <m/>
    <m/>
    <m/>
    <m/>
    <x v="0"/>
    <x v="0"/>
    <x v="0"/>
    <m/>
    <m/>
    <x v="2"/>
    <m/>
    <m/>
    <m/>
    <m/>
    <m/>
    <m/>
    <x v="0"/>
    <x v="2"/>
    <x v="0"/>
    <x v="1"/>
    <x v="1"/>
    <x v="2"/>
    <x v="0"/>
    <x v="0"/>
    <x v="0"/>
    <x v="1"/>
    <x v="0"/>
    <x v="2"/>
    <x v="2"/>
    <x v="0"/>
    <x v="1"/>
    <x v="0"/>
    <x v="1"/>
    <x v="1"/>
    <x v="1"/>
    <x v="1"/>
    <x v="2"/>
    <x v="0"/>
    <x v="0"/>
    <x v="0"/>
    <x v="0"/>
    <x v="0"/>
  </r>
  <r>
    <m/>
    <x v="0"/>
    <x v="0"/>
    <x v="0"/>
    <m/>
    <m/>
    <m/>
    <x v="0"/>
    <m/>
    <x v="2"/>
    <m/>
    <m/>
    <m/>
    <m/>
    <m/>
    <m/>
    <m/>
    <m/>
    <m/>
    <m/>
    <m/>
    <m/>
    <x v="3"/>
    <x v="0"/>
    <x v="0"/>
    <m/>
    <m/>
    <x v="1"/>
    <m/>
    <m/>
    <m/>
    <m/>
    <m/>
    <m/>
    <x v="0"/>
    <x v="2"/>
    <x v="0"/>
    <x v="1"/>
    <x v="1"/>
    <x v="2"/>
    <x v="0"/>
    <x v="0"/>
    <x v="0"/>
    <x v="1"/>
    <x v="0"/>
    <x v="1"/>
    <x v="3"/>
    <x v="0"/>
    <x v="1"/>
    <x v="0"/>
    <x v="1"/>
    <x v="1"/>
    <x v="2"/>
    <x v="1"/>
    <x v="2"/>
    <x v="0"/>
    <x v="0"/>
    <x v="0"/>
    <x v="0"/>
    <x v="0"/>
  </r>
  <r>
    <m/>
    <x v="0"/>
    <x v="0"/>
    <x v="1"/>
    <m/>
    <m/>
    <m/>
    <x v="0"/>
    <m/>
    <x v="2"/>
    <m/>
    <m/>
    <m/>
    <m/>
    <m/>
    <m/>
    <m/>
    <m/>
    <m/>
    <m/>
    <m/>
    <m/>
    <x v="3"/>
    <x v="0"/>
    <x v="0"/>
    <m/>
    <m/>
    <x v="1"/>
    <m/>
    <m/>
    <m/>
    <m/>
    <m/>
    <m/>
    <x v="0"/>
    <x v="2"/>
    <x v="0"/>
    <x v="1"/>
    <x v="1"/>
    <x v="2"/>
    <x v="0"/>
    <x v="0"/>
    <x v="0"/>
    <x v="1"/>
    <x v="0"/>
    <x v="1"/>
    <x v="3"/>
    <x v="1"/>
    <x v="1"/>
    <x v="0"/>
    <x v="1"/>
    <x v="1"/>
    <x v="2"/>
    <x v="1"/>
    <x v="2"/>
    <x v="0"/>
    <x v="0"/>
    <x v="0"/>
    <x v="0"/>
    <x v="0"/>
  </r>
  <r>
    <m/>
    <x v="0"/>
    <x v="0"/>
    <x v="0"/>
    <m/>
    <m/>
    <m/>
    <x v="0"/>
    <m/>
    <x v="2"/>
    <m/>
    <m/>
    <m/>
    <m/>
    <m/>
    <m/>
    <m/>
    <m/>
    <m/>
    <m/>
    <m/>
    <m/>
    <x v="0"/>
    <x v="0"/>
    <x v="0"/>
    <m/>
    <m/>
    <x v="1"/>
    <m/>
    <m/>
    <m/>
    <m/>
    <m/>
    <m/>
    <x v="0"/>
    <x v="2"/>
    <x v="0"/>
    <x v="1"/>
    <x v="1"/>
    <x v="2"/>
    <x v="0"/>
    <x v="0"/>
    <x v="0"/>
    <x v="1"/>
    <x v="2"/>
    <x v="1"/>
    <x v="3"/>
    <x v="0"/>
    <x v="1"/>
    <x v="0"/>
    <x v="1"/>
    <x v="1"/>
    <x v="2"/>
    <x v="1"/>
    <x v="2"/>
    <x v="0"/>
    <x v="0"/>
    <x v="0"/>
    <x v="0"/>
    <x v="0"/>
  </r>
  <r>
    <m/>
    <x v="0"/>
    <x v="0"/>
    <x v="1"/>
    <m/>
    <m/>
    <m/>
    <x v="0"/>
    <m/>
    <x v="2"/>
    <m/>
    <m/>
    <m/>
    <m/>
    <m/>
    <m/>
    <m/>
    <m/>
    <m/>
    <m/>
    <m/>
    <m/>
    <x v="0"/>
    <x v="0"/>
    <x v="0"/>
    <m/>
    <m/>
    <x v="1"/>
    <m/>
    <m/>
    <m/>
    <m/>
    <m/>
    <m/>
    <x v="0"/>
    <x v="2"/>
    <x v="0"/>
    <x v="1"/>
    <x v="1"/>
    <x v="2"/>
    <x v="0"/>
    <x v="0"/>
    <x v="0"/>
    <x v="1"/>
    <x v="2"/>
    <x v="1"/>
    <x v="3"/>
    <x v="0"/>
    <x v="1"/>
    <x v="0"/>
    <x v="1"/>
    <x v="1"/>
    <x v="2"/>
    <x v="1"/>
    <x v="2"/>
    <x v="0"/>
    <x v="0"/>
    <x v="0"/>
    <x v="0"/>
    <x v="0"/>
  </r>
  <r>
    <m/>
    <x v="0"/>
    <x v="0"/>
    <x v="1"/>
    <m/>
    <m/>
    <m/>
    <x v="0"/>
    <m/>
    <x v="2"/>
    <m/>
    <m/>
    <m/>
    <m/>
    <m/>
    <m/>
    <m/>
    <m/>
    <m/>
    <m/>
    <m/>
    <m/>
    <x v="2"/>
    <x v="1"/>
    <x v="0"/>
    <m/>
    <m/>
    <x v="2"/>
    <m/>
    <m/>
    <m/>
    <m/>
    <m/>
    <m/>
    <x v="0"/>
    <x v="2"/>
    <x v="0"/>
    <x v="1"/>
    <x v="1"/>
    <x v="2"/>
    <x v="0"/>
    <x v="0"/>
    <x v="0"/>
    <x v="1"/>
    <x v="0"/>
    <x v="2"/>
    <x v="2"/>
    <x v="0"/>
    <x v="1"/>
    <x v="0"/>
    <x v="1"/>
    <x v="1"/>
    <x v="1"/>
    <x v="1"/>
    <x v="2"/>
    <x v="0"/>
    <x v="0"/>
    <x v="0"/>
    <x v="0"/>
    <x v="0"/>
  </r>
  <r>
    <m/>
    <x v="0"/>
    <x v="0"/>
    <x v="1"/>
    <m/>
    <m/>
    <m/>
    <x v="2"/>
    <m/>
    <x v="3"/>
    <m/>
    <m/>
    <m/>
    <m/>
    <m/>
    <m/>
    <m/>
    <m/>
    <m/>
    <m/>
    <m/>
    <m/>
    <x v="2"/>
    <x v="2"/>
    <x v="2"/>
    <m/>
    <m/>
    <x v="0"/>
    <m/>
    <m/>
    <m/>
    <m/>
    <m/>
    <m/>
    <x v="2"/>
    <x v="2"/>
    <x v="0"/>
    <x v="0"/>
    <x v="3"/>
    <x v="3"/>
    <x v="4"/>
    <x v="4"/>
    <x v="1"/>
    <x v="1"/>
    <x v="3"/>
    <x v="0"/>
    <x v="4"/>
    <x v="1"/>
    <x v="2"/>
    <x v="0"/>
    <x v="0"/>
    <x v="3"/>
    <x v="1"/>
    <x v="2"/>
    <x v="3"/>
    <x v="3"/>
    <x v="0"/>
    <x v="0"/>
    <x v="0"/>
    <x v="0"/>
  </r>
  <r>
    <m/>
    <x v="0"/>
    <x v="0"/>
    <x v="1"/>
    <m/>
    <m/>
    <m/>
    <x v="2"/>
    <m/>
    <x v="3"/>
    <m/>
    <m/>
    <m/>
    <m/>
    <m/>
    <m/>
    <m/>
    <m/>
    <m/>
    <m/>
    <m/>
    <m/>
    <x v="0"/>
    <x v="0"/>
    <x v="1"/>
    <m/>
    <m/>
    <x v="2"/>
    <m/>
    <m/>
    <m/>
    <m/>
    <m/>
    <m/>
    <x v="1"/>
    <x v="0"/>
    <x v="2"/>
    <x v="1"/>
    <x v="1"/>
    <x v="3"/>
    <x v="0"/>
    <x v="2"/>
    <x v="1"/>
    <x v="3"/>
    <x v="2"/>
    <x v="2"/>
    <x v="2"/>
    <x v="1"/>
    <x v="0"/>
    <x v="2"/>
    <x v="3"/>
    <x v="2"/>
    <x v="2"/>
    <x v="3"/>
    <x v="0"/>
    <x v="0"/>
    <x v="0"/>
    <x v="0"/>
    <x v="0"/>
    <x v="0"/>
  </r>
  <r>
    <m/>
    <x v="0"/>
    <x v="0"/>
    <x v="1"/>
    <m/>
    <m/>
    <m/>
    <x v="0"/>
    <m/>
    <x v="2"/>
    <m/>
    <m/>
    <m/>
    <m/>
    <m/>
    <m/>
    <m/>
    <m/>
    <m/>
    <m/>
    <m/>
    <m/>
    <x v="0"/>
    <x v="0"/>
    <x v="0"/>
    <m/>
    <m/>
    <x v="2"/>
    <m/>
    <m/>
    <m/>
    <m/>
    <m/>
    <m/>
    <x v="3"/>
    <x v="3"/>
    <x v="4"/>
    <x v="1"/>
    <x v="1"/>
    <x v="2"/>
    <x v="0"/>
    <x v="0"/>
    <x v="0"/>
    <x v="1"/>
    <x v="0"/>
    <x v="2"/>
    <x v="2"/>
    <x v="0"/>
    <x v="1"/>
    <x v="0"/>
    <x v="2"/>
    <x v="3"/>
    <x v="1"/>
    <x v="1"/>
    <x v="2"/>
    <x v="1"/>
    <x v="0"/>
    <x v="0"/>
    <x v="0"/>
    <x v="0"/>
  </r>
  <r>
    <m/>
    <x v="0"/>
    <x v="0"/>
    <x v="1"/>
    <m/>
    <m/>
    <m/>
    <x v="0"/>
    <m/>
    <x v="2"/>
    <m/>
    <m/>
    <m/>
    <m/>
    <m/>
    <m/>
    <m/>
    <m/>
    <m/>
    <m/>
    <m/>
    <m/>
    <x v="0"/>
    <x v="0"/>
    <x v="0"/>
    <m/>
    <m/>
    <x v="2"/>
    <m/>
    <m/>
    <m/>
    <m/>
    <m/>
    <m/>
    <x v="0"/>
    <x v="2"/>
    <x v="0"/>
    <x v="1"/>
    <x v="1"/>
    <x v="2"/>
    <x v="0"/>
    <x v="0"/>
    <x v="0"/>
    <x v="1"/>
    <x v="0"/>
    <x v="2"/>
    <x v="2"/>
    <x v="0"/>
    <x v="1"/>
    <x v="0"/>
    <x v="1"/>
    <x v="1"/>
    <x v="1"/>
    <x v="1"/>
    <x v="2"/>
    <x v="0"/>
    <x v="0"/>
    <x v="0"/>
    <x v="0"/>
    <x v="0"/>
  </r>
  <r>
    <m/>
    <x v="0"/>
    <x v="0"/>
    <x v="1"/>
    <m/>
    <m/>
    <m/>
    <x v="0"/>
    <m/>
    <x v="2"/>
    <m/>
    <m/>
    <m/>
    <m/>
    <m/>
    <m/>
    <m/>
    <m/>
    <m/>
    <m/>
    <m/>
    <m/>
    <x v="0"/>
    <x v="0"/>
    <x v="0"/>
    <m/>
    <m/>
    <x v="2"/>
    <m/>
    <m/>
    <m/>
    <m/>
    <m/>
    <m/>
    <x v="0"/>
    <x v="2"/>
    <x v="2"/>
    <x v="1"/>
    <x v="1"/>
    <x v="2"/>
    <x v="3"/>
    <x v="0"/>
    <x v="0"/>
    <x v="3"/>
    <x v="0"/>
    <x v="2"/>
    <x v="2"/>
    <x v="0"/>
    <x v="1"/>
    <x v="0"/>
    <x v="1"/>
    <x v="1"/>
    <x v="1"/>
    <x v="1"/>
    <x v="2"/>
    <x v="2"/>
    <x v="0"/>
    <x v="0"/>
    <x v="0"/>
    <x v="0"/>
  </r>
  <r>
    <m/>
    <x v="0"/>
    <x v="0"/>
    <x v="0"/>
    <m/>
    <m/>
    <m/>
    <x v="0"/>
    <m/>
    <x v="2"/>
    <m/>
    <m/>
    <m/>
    <m/>
    <m/>
    <m/>
    <m/>
    <m/>
    <m/>
    <m/>
    <m/>
    <m/>
    <x v="4"/>
    <x v="0"/>
    <x v="0"/>
    <m/>
    <m/>
    <x v="2"/>
    <m/>
    <m/>
    <m/>
    <m/>
    <m/>
    <m/>
    <x v="0"/>
    <x v="2"/>
    <x v="4"/>
    <x v="1"/>
    <x v="4"/>
    <x v="2"/>
    <x v="0"/>
    <x v="2"/>
    <x v="3"/>
    <x v="1"/>
    <x v="0"/>
    <x v="2"/>
    <x v="2"/>
    <x v="0"/>
    <x v="1"/>
    <x v="0"/>
    <x v="1"/>
    <x v="1"/>
    <x v="1"/>
    <x v="1"/>
    <x v="2"/>
    <x v="0"/>
    <x v="0"/>
    <x v="0"/>
    <x v="0"/>
    <x v="0"/>
  </r>
  <r>
    <m/>
    <x v="0"/>
    <x v="0"/>
    <x v="0"/>
    <m/>
    <m/>
    <m/>
    <x v="0"/>
    <m/>
    <x v="2"/>
    <m/>
    <m/>
    <m/>
    <m/>
    <m/>
    <m/>
    <m/>
    <m/>
    <m/>
    <m/>
    <m/>
    <m/>
    <x v="2"/>
    <x v="3"/>
    <x v="0"/>
    <m/>
    <m/>
    <x v="2"/>
    <m/>
    <m/>
    <m/>
    <m/>
    <m/>
    <m/>
    <x v="0"/>
    <x v="2"/>
    <x v="0"/>
    <x v="1"/>
    <x v="1"/>
    <x v="2"/>
    <x v="0"/>
    <x v="0"/>
    <x v="0"/>
    <x v="1"/>
    <x v="0"/>
    <x v="2"/>
    <x v="2"/>
    <x v="0"/>
    <x v="1"/>
    <x v="0"/>
    <x v="1"/>
    <x v="1"/>
    <x v="1"/>
    <x v="1"/>
    <x v="2"/>
    <x v="0"/>
    <x v="0"/>
    <x v="0"/>
    <x v="0"/>
    <x v="0"/>
  </r>
  <r>
    <m/>
    <x v="0"/>
    <x v="0"/>
    <x v="0"/>
    <m/>
    <m/>
    <m/>
    <x v="0"/>
    <m/>
    <x v="4"/>
    <m/>
    <m/>
    <m/>
    <m/>
    <m/>
    <m/>
    <m/>
    <m/>
    <m/>
    <m/>
    <m/>
    <m/>
    <x v="0"/>
    <x v="1"/>
    <x v="0"/>
    <m/>
    <m/>
    <x v="2"/>
    <m/>
    <m/>
    <m/>
    <m/>
    <m/>
    <m/>
    <x v="0"/>
    <x v="2"/>
    <x v="3"/>
    <x v="1"/>
    <x v="1"/>
    <x v="4"/>
    <x v="0"/>
    <x v="0"/>
    <x v="0"/>
    <x v="0"/>
    <x v="2"/>
    <x v="2"/>
    <x v="2"/>
    <x v="0"/>
    <x v="3"/>
    <x v="0"/>
    <x v="1"/>
    <x v="1"/>
    <x v="1"/>
    <x v="4"/>
    <x v="2"/>
    <x v="0"/>
    <x v="0"/>
    <x v="0"/>
    <x v="0"/>
    <x v="0"/>
  </r>
  <r>
    <m/>
    <x v="0"/>
    <x v="0"/>
    <x v="0"/>
    <m/>
    <m/>
    <m/>
    <x v="0"/>
    <m/>
    <x v="2"/>
    <m/>
    <m/>
    <m/>
    <m/>
    <m/>
    <m/>
    <m/>
    <m/>
    <m/>
    <m/>
    <m/>
    <m/>
    <x v="0"/>
    <x v="0"/>
    <x v="1"/>
    <m/>
    <m/>
    <x v="2"/>
    <m/>
    <m/>
    <m/>
    <m/>
    <m/>
    <m/>
    <x v="1"/>
    <x v="2"/>
    <x v="0"/>
    <x v="1"/>
    <x v="1"/>
    <x v="2"/>
    <x v="0"/>
    <x v="0"/>
    <x v="0"/>
    <x v="1"/>
    <x v="0"/>
    <x v="1"/>
    <x v="2"/>
    <x v="0"/>
    <x v="1"/>
    <x v="0"/>
    <x v="3"/>
    <x v="2"/>
    <x v="3"/>
    <x v="1"/>
    <x v="2"/>
    <x v="4"/>
    <x v="0"/>
    <x v="0"/>
    <x v="0"/>
    <x v="0"/>
  </r>
  <r>
    <m/>
    <x v="0"/>
    <x v="0"/>
    <x v="0"/>
    <m/>
    <m/>
    <m/>
    <x v="0"/>
    <m/>
    <x v="2"/>
    <m/>
    <m/>
    <m/>
    <m/>
    <m/>
    <m/>
    <m/>
    <m/>
    <m/>
    <m/>
    <m/>
    <m/>
    <x v="0"/>
    <x v="0"/>
    <x v="1"/>
    <m/>
    <m/>
    <x v="2"/>
    <m/>
    <m/>
    <m/>
    <m/>
    <m/>
    <m/>
    <x v="1"/>
    <x v="2"/>
    <x v="2"/>
    <x v="1"/>
    <x v="4"/>
    <x v="2"/>
    <x v="0"/>
    <x v="0"/>
    <x v="0"/>
    <x v="1"/>
    <x v="2"/>
    <x v="1"/>
    <x v="0"/>
    <x v="1"/>
    <x v="0"/>
    <x v="0"/>
    <x v="3"/>
    <x v="1"/>
    <x v="2"/>
    <x v="0"/>
    <x v="2"/>
    <x v="0"/>
    <x v="0"/>
    <x v="0"/>
    <x v="0"/>
    <x v="0"/>
  </r>
  <r>
    <m/>
    <x v="0"/>
    <x v="0"/>
    <x v="0"/>
    <m/>
    <m/>
    <m/>
    <x v="0"/>
    <m/>
    <x v="0"/>
    <m/>
    <m/>
    <m/>
    <m/>
    <m/>
    <m/>
    <m/>
    <m/>
    <m/>
    <m/>
    <m/>
    <m/>
    <x v="0"/>
    <x v="0"/>
    <x v="0"/>
    <m/>
    <m/>
    <x v="2"/>
    <m/>
    <m/>
    <m/>
    <m/>
    <m/>
    <m/>
    <x v="0"/>
    <x v="2"/>
    <x v="0"/>
    <x v="1"/>
    <x v="0"/>
    <x v="0"/>
    <x v="0"/>
    <x v="2"/>
    <x v="0"/>
    <x v="1"/>
    <x v="0"/>
    <x v="3"/>
    <x v="2"/>
    <x v="0"/>
    <x v="1"/>
    <x v="0"/>
    <x v="3"/>
    <x v="1"/>
    <x v="1"/>
    <x v="1"/>
    <x v="0"/>
    <x v="3"/>
    <x v="0"/>
    <x v="0"/>
    <x v="0"/>
    <x v="0"/>
  </r>
  <r>
    <m/>
    <x v="0"/>
    <x v="0"/>
    <x v="0"/>
    <m/>
    <m/>
    <m/>
    <x v="2"/>
    <m/>
    <x v="2"/>
    <m/>
    <m/>
    <m/>
    <m/>
    <m/>
    <m/>
    <m/>
    <m/>
    <m/>
    <m/>
    <m/>
    <m/>
    <x v="0"/>
    <x v="0"/>
    <x v="0"/>
    <m/>
    <m/>
    <x v="0"/>
    <m/>
    <m/>
    <m/>
    <m/>
    <m/>
    <m/>
    <x v="0"/>
    <x v="2"/>
    <x v="0"/>
    <x v="2"/>
    <x v="4"/>
    <x v="2"/>
    <x v="0"/>
    <x v="0"/>
    <x v="0"/>
    <x v="1"/>
    <x v="0"/>
    <x v="1"/>
    <x v="2"/>
    <x v="0"/>
    <x v="0"/>
    <x v="2"/>
    <x v="1"/>
    <x v="1"/>
    <x v="1"/>
    <x v="1"/>
    <x v="2"/>
    <x v="0"/>
    <x v="0"/>
    <x v="0"/>
    <x v="0"/>
    <x v="0"/>
  </r>
  <r>
    <m/>
    <x v="0"/>
    <x v="0"/>
    <x v="1"/>
    <m/>
    <m/>
    <m/>
    <x v="0"/>
    <m/>
    <x v="5"/>
    <m/>
    <m/>
    <m/>
    <m/>
    <m/>
    <m/>
    <m/>
    <m/>
    <m/>
    <m/>
    <m/>
    <m/>
    <x v="2"/>
    <x v="0"/>
    <x v="0"/>
    <m/>
    <m/>
    <x v="2"/>
    <m/>
    <m/>
    <m/>
    <m/>
    <m/>
    <m/>
    <x v="0"/>
    <x v="2"/>
    <x v="4"/>
    <x v="4"/>
    <x v="1"/>
    <x v="5"/>
    <x v="0"/>
    <x v="0"/>
    <x v="1"/>
    <x v="3"/>
    <x v="0"/>
    <x v="2"/>
    <x v="2"/>
    <x v="3"/>
    <x v="3"/>
    <x v="0"/>
    <x v="3"/>
    <x v="2"/>
    <x v="1"/>
    <x v="3"/>
    <x v="2"/>
    <x v="0"/>
    <x v="0"/>
    <x v="0"/>
    <x v="0"/>
    <x v="0"/>
  </r>
  <r>
    <m/>
    <x v="0"/>
    <x v="0"/>
    <x v="1"/>
    <m/>
    <m/>
    <m/>
    <x v="0"/>
    <m/>
    <x v="5"/>
    <m/>
    <m/>
    <m/>
    <m/>
    <m/>
    <m/>
    <m/>
    <m/>
    <m/>
    <m/>
    <m/>
    <m/>
    <x v="0"/>
    <x v="0"/>
    <x v="0"/>
    <m/>
    <m/>
    <x v="2"/>
    <m/>
    <m/>
    <m/>
    <m/>
    <m/>
    <m/>
    <x v="0"/>
    <x v="0"/>
    <x v="0"/>
    <x v="1"/>
    <x v="4"/>
    <x v="5"/>
    <x v="0"/>
    <x v="2"/>
    <x v="0"/>
    <x v="1"/>
    <x v="2"/>
    <x v="2"/>
    <x v="2"/>
    <x v="3"/>
    <x v="2"/>
    <x v="0"/>
    <x v="1"/>
    <x v="1"/>
    <x v="1"/>
    <x v="3"/>
    <x v="0"/>
    <x v="0"/>
    <x v="0"/>
    <x v="0"/>
    <x v="0"/>
    <x v="0"/>
  </r>
  <r>
    <m/>
    <x v="0"/>
    <x v="0"/>
    <x v="1"/>
    <m/>
    <m/>
    <m/>
    <x v="0"/>
    <m/>
    <x v="2"/>
    <m/>
    <m/>
    <m/>
    <m/>
    <m/>
    <m/>
    <m/>
    <m/>
    <m/>
    <m/>
    <m/>
    <m/>
    <x v="0"/>
    <x v="0"/>
    <x v="0"/>
    <m/>
    <m/>
    <x v="2"/>
    <m/>
    <m/>
    <m/>
    <m/>
    <m/>
    <m/>
    <x v="0"/>
    <x v="2"/>
    <x v="0"/>
    <x v="1"/>
    <x v="1"/>
    <x v="2"/>
    <x v="3"/>
    <x v="0"/>
    <x v="0"/>
    <x v="1"/>
    <x v="0"/>
    <x v="1"/>
    <x v="2"/>
    <x v="0"/>
    <x v="0"/>
    <x v="0"/>
    <x v="1"/>
    <x v="2"/>
    <x v="2"/>
    <x v="3"/>
    <x v="4"/>
    <x v="0"/>
    <x v="0"/>
    <x v="0"/>
    <x v="0"/>
    <x v="0"/>
  </r>
  <r>
    <m/>
    <x v="0"/>
    <x v="0"/>
    <x v="1"/>
    <m/>
    <m/>
    <m/>
    <x v="0"/>
    <m/>
    <x v="4"/>
    <m/>
    <m/>
    <m/>
    <m/>
    <m/>
    <m/>
    <m/>
    <m/>
    <m/>
    <m/>
    <m/>
    <m/>
    <x v="0"/>
    <x v="1"/>
    <x v="3"/>
    <m/>
    <m/>
    <x v="2"/>
    <m/>
    <m/>
    <m/>
    <m/>
    <m/>
    <m/>
    <x v="0"/>
    <x v="4"/>
    <x v="2"/>
    <x v="2"/>
    <x v="3"/>
    <x v="4"/>
    <x v="0"/>
    <x v="2"/>
    <x v="3"/>
    <x v="3"/>
    <x v="0"/>
    <x v="4"/>
    <x v="2"/>
    <x v="1"/>
    <x v="4"/>
    <x v="0"/>
    <x v="1"/>
    <x v="1"/>
    <x v="1"/>
    <x v="3"/>
    <x v="2"/>
    <x v="3"/>
    <x v="0"/>
    <x v="0"/>
    <x v="0"/>
    <x v="0"/>
  </r>
  <r>
    <m/>
    <x v="0"/>
    <x v="0"/>
    <x v="0"/>
    <m/>
    <m/>
    <m/>
    <x v="0"/>
    <m/>
    <x v="2"/>
    <m/>
    <m/>
    <m/>
    <m/>
    <m/>
    <m/>
    <m/>
    <m/>
    <m/>
    <m/>
    <m/>
    <m/>
    <x v="0"/>
    <x v="0"/>
    <x v="0"/>
    <m/>
    <m/>
    <x v="2"/>
    <m/>
    <m/>
    <m/>
    <m/>
    <m/>
    <m/>
    <x v="0"/>
    <x v="2"/>
    <x v="0"/>
    <x v="1"/>
    <x v="1"/>
    <x v="2"/>
    <x v="0"/>
    <x v="0"/>
    <x v="0"/>
    <x v="1"/>
    <x v="0"/>
    <x v="2"/>
    <x v="2"/>
    <x v="0"/>
    <x v="1"/>
    <x v="0"/>
    <x v="1"/>
    <x v="1"/>
    <x v="1"/>
    <x v="1"/>
    <x v="1"/>
    <x v="0"/>
    <x v="0"/>
    <x v="0"/>
    <x v="0"/>
    <x v="0"/>
  </r>
  <r>
    <m/>
    <x v="0"/>
    <x v="0"/>
    <x v="0"/>
    <m/>
    <m/>
    <m/>
    <x v="0"/>
    <m/>
    <x v="2"/>
    <m/>
    <m/>
    <m/>
    <m/>
    <m/>
    <m/>
    <m/>
    <m/>
    <m/>
    <m/>
    <m/>
    <m/>
    <x v="0"/>
    <x v="0"/>
    <x v="0"/>
    <m/>
    <m/>
    <x v="2"/>
    <m/>
    <m/>
    <m/>
    <m/>
    <m/>
    <m/>
    <x v="3"/>
    <x v="4"/>
    <x v="4"/>
    <x v="1"/>
    <x v="1"/>
    <x v="2"/>
    <x v="0"/>
    <x v="0"/>
    <x v="0"/>
    <x v="1"/>
    <x v="0"/>
    <x v="2"/>
    <x v="2"/>
    <x v="0"/>
    <x v="2"/>
    <x v="0"/>
    <x v="3"/>
    <x v="1"/>
    <x v="1"/>
    <x v="3"/>
    <x v="2"/>
    <x v="4"/>
    <x v="0"/>
    <x v="0"/>
    <x v="0"/>
    <x v="0"/>
  </r>
  <r>
    <m/>
    <x v="0"/>
    <x v="0"/>
    <x v="1"/>
    <m/>
    <m/>
    <m/>
    <x v="0"/>
    <m/>
    <x v="3"/>
    <m/>
    <m/>
    <m/>
    <m/>
    <m/>
    <m/>
    <m/>
    <m/>
    <m/>
    <m/>
    <m/>
    <m/>
    <x v="0"/>
    <x v="0"/>
    <x v="0"/>
    <m/>
    <m/>
    <x v="2"/>
    <m/>
    <m/>
    <m/>
    <m/>
    <m/>
    <m/>
    <x v="0"/>
    <x v="0"/>
    <x v="0"/>
    <x v="1"/>
    <x v="1"/>
    <x v="3"/>
    <x v="0"/>
    <x v="2"/>
    <x v="0"/>
    <x v="1"/>
    <x v="0"/>
    <x v="1"/>
    <x v="2"/>
    <x v="0"/>
    <x v="0"/>
    <x v="0"/>
    <x v="1"/>
    <x v="1"/>
    <x v="1"/>
    <x v="3"/>
    <x v="2"/>
    <x v="3"/>
    <x v="0"/>
    <x v="0"/>
    <x v="0"/>
    <x v="0"/>
  </r>
  <r>
    <m/>
    <x v="0"/>
    <x v="0"/>
    <x v="1"/>
    <m/>
    <m/>
    <m/>
    <x v="0"/>
    <m/>
    <x v="2"/>
    <m/>
    <m/>
    <m/>
    <m/>
    <m/>
    <m/>
    <m/>
    <m/>
    <m/>
    <m/>
    <m/>
    <m/>
    <x v="1"/>
    <x v="3"/>
    <x v="1"/>
    <m/>
    <m/>
    <x v="2"/>
    <m/>
    <m/>
    <m/>
    <m/>
    <m/>
    <m/>
    <x v="2"/>
    <x v="2"/>
    <x v="0"/>
    <x v="1"/>
    <x v="4"/>
    <x v="2"/>
    <x v="0"/>
    <x v="0"/>
    <x v="0"/>
    <x v="1"/>
    <x v="2"/>
    <x v="1"/>
    <x v="2"/>
    <x v="0"/>
    <x v="2"/>
    <x v="0"/>
    <x v="1"/>
    <x v="1"/>
    <x v="1"/>
    <x v="1"/>
    <x v="2"/>
    <x v="0"/>
    <x v="0"/>
    <x v="0"/>
    <x v="0"/>
    <x v="0"/>
  </r>
  <r>
    <m/>
    <x v="0"/>
    <x v="0"/>
    <x v="1"/>
    <m/>
    <m/>
    <m/>
    <x v="0"/>
    <m/>
    <x v="2"/>
    <m/>
    <m/>
    <m/>
    <m/>
    <m/>
    <m/>
    <m/>
    <m/>
    <m/>
    <m/>
    <m/>
    <m/>
    <x v="0"/>
    <x v="0"/>
    <x v="0"/>
    <m/>
    <m/>
    <x v="2"/>
    <m/>
    <m/>
    <m/>
    <m/>
    <m/>
    <m/>
    <x v="0"/>
    <x v="2"/>
    <x v="0"/>
    <x v="1"/>
    <x v="1"/>
    <x v="2"/>
    <x v="0"/>
    <x v="0"/>
    <x v="0"/>
    <x v="1"/>
    <x v="0"/>
    <x v="4"/>
    <x v="2"/>
    <x v="0"/>
    <x v="3"/>
    <x v="0"/>
    <x v="1"/>
    <x v="1"/>
    <x v="1"/>
    <x v="1"/>
    <x v="2"/>
    <x v="4"/>
    <x v="0"/>
    <x v="0"/>
    <x v="0"/>
    <x v="0"/>
  </r>
  <r>
    <m/>
    <x v="0"/>
    <x v="0"/>
    <x v="1"/>
    <m/>
    <m/>
    <m/>
    <x v="2"/>
    <m/>
    <x v="3"/>
    <m/>
    <m/>
    <m/>
    <m/>
    <m/>
    <m/>
    <m/>
    <m/>
    <m/>
    <m/>
    <m/>
    <m/>
    <x v="1"/>
    <x v="4"/>
    <x v="1"/>
    <m/>
    <m/>
    <x v="0"/>
    <m/>
    <m/>
    <m/>
    <m/>
    <m/>
    <m/>
    <x v="0"/>
    <x v="2"/>
    <x v="2"/>
    <x v="2"/>
    <x v="4"/>
    <x v="3"/>
    <x v="3"/>
    <x v="2"/>
    <x v="1"/>
    <x v="3"/>
    <x v="2"/>
    <x v="1"/>
    <x v="0"/>
    <x v="1"/>
    <x v="0"/>
    <x v="2"/>
    <x v="1"/>
    <x v="1"/>
    <x v="1"/>
    <x v="1"/>
    <x v="2"/>
    <x v="3"/>
    <x v="0"/>
    <x v="0"/>
    <x v="0"/>
    <x v="0"/>
  </r>
  <r>
    <m/>
    <x v="0"/>
    <x v="1"/>
    <x v="0"/>
    <m/>
    <m/>
    <m/>
    <x v="0"/>
    <m/>
    <x v="0"/>
    <m/>
    <m/>
    <m/>
    <m/>
    <m/>
    <m/>
    <m/>
    <m/>
    <m/>
    <m/>
    <m/>
    <m/>
    <x v="0"/>
    <x v="0"/>
    <x v="4"/>
    <m/>
    <m/>
    <x v="2"/>
    <m/>
    <m/>
    <m/>
    <m/>
    <m/>
    <m/>
    <x v="2"/>
    <x v="5"/>
    <x v="0"/>
    <x v="2"/>
    <x v="3"/>
    <x v="0"/>
    <x v="5"/>
    <x v="0"/>
    <x v="0"/>
    <x v="1"/>
    <x v="0"/>
    <x v="4"/>
    <x v="4"/>
    <x v="0"/>
    <x v="1"/>
    <x v="0"/>
    <x v="3"/>
    <x v="2"/>
    <x v="2"/>
    <x v="4"/>
    <x v="3"/>
    <x v="0"/>
    <x v="0"/>
    <x v="0"/>
    <x v="0"/>
    <x v="0"/>
  </r>
  <r>
    <m/>
    <x v="0"/>
    <x v="1"/>
    <x v="0"/>
    <m/>
    <m/>
    <m/>
    <x v="3"/>
    <m/>
    <x v="3"/>
    <m/>
    <m/>
    <m/>
    <m/>
    <m/>
    <m/>
    <m/>
    <m/>
    <m/>
    <m/>
    <m/>
    <m/>
    <x v="1"/>
    <x v="4"/>
    <x v="1"/>
    <m/>
    <m/>
    <x v="0"/>
    <m/>
    <m/>
    <m/>
    <m/>
    <m/>
    <m/>
    <x v="1"/>
    <x v="4"/>
    <x v="2"/>
    <x v="2"/>
    <x v="3"/>
    <x v="3"/>
    <x v="3"/>
    <x v="2"/>
    <x v="1"/>
    <x v="3"/>
    <x v="2"/>
    <x v="0"/>
    <x v="0"/>
    <x v="1"/>
    <x v="0"/>
    <x v="2"/>
    <x v="3"/>
    <x v="2"/>
    <x v="2"/>
    <x v="0"/>
    <x v="3"/>
    <x v="3"/>
    <x v="0"/>
    <x v="0"/>
    <x v="0"/>
    <x v="0"/>
  </r>
  <r>
    <m/>
    <x v="0"/>
    <x v="1"/>
    <x v="0"/>
    <m/>
    <m/>
    <m/>
    <x v="0"/>
    <m/>
    <x v="3"/>
    <m/>
    <m/>
    <m/>
    <m/>
    <m/>
    <m/>
    <m/>
    <m/>
    <m/>
    <m/>
    <m/>
    <m/>
    <x v="0"/>
    <x v="0"/>
    <x v="0"/>
    <m/>
    <m/>
    <x v="2"/>
    <m/>
    <m/>
    <m/>
    <m/>
    <m/>
    <m/>
    <x v="0"/>
    <x v="2"/>
    <x v="0"/>
    <x v="2"/>
    <x v="4"/>
    <x v="3"/>
    <x v="3"/>
    <x v="3"/>
    <x v="1"/>
    <x v="0"/>
    <x v="0"/>
    <x v="1"/>
    <x v="0"/>
    <x v="1"/>
    <x v="0"/>
    <x v="0"/>
    <x v="3"/>
    <x v="2"/>
    <x v="2"/>
    <x v="3"/>
    <x v="3"/>
    <x v="0"/>
    <x v="0"/>
    <x v="0"/>
    <x v="0"/>
    <x v="0"/>
  </r>
  <r>
    <m/>
    <x v="0"/>
    <x v="1"/>
    <x v="1"/>
    <m/>
    <m/>
    <m/>
    <x v="0"/>
    <m/>
    <x v="2"/>
    <m/>
    <m/>
    <m/>
    <m/>
    <m/>
    <m/>
    <m/>
    <m/>
    <m/>
    <m/>
    <m/>
    <m/>
    <x v="0"/>
    <x v="0"/>
    <x v="2"/>
    <m/>
    <m/>
    <x v="2"/>
    <m/>
    <m/>
    <m/>
    <m/>
    <m/>
    <m/>
    <x v="0"/>
    <x v="2"/>
    <x v="2"/>
    <x v="1"/>
    <x v="4"/>
    <x v="2"/>
    <x v="0"/>
    <x v="0"/>
    <x v="0"/>
    <x v="1"/>
    <x v="0"/>
    <x v="2"/>
    <x v="2"/>
    <x v="0"/>
    <x v="1"/>
    <x v="0"/>
    <x v="4"/>
    <x v="2"/>
    <x v="0"/>
    <x v="3"/>
    <x v="3"/>
    <x v="3"/>
    <x v="0"/>
    <x v="0"/>
    <x v="0"/>
    <x v="0"/>
  </r>
  <r>
    <m/>
    <x v="0"/>
    <x v="1"/>
    <x v="0"/>
    <m/>
    <m/>
    <m/>
    <x v="0"/>
    <m/>
    <x v="2"/>
    <m/>
    <m/>
    <m/>
    <m/>
    <m/>
    <m/>
    <m/>
    <m/>
    <m/>
    <m/>
    <m/>
    <m/>
    <x v="0"/>
    <x v="0"/>
    <x v="0"/>
    <m/>
    <m/>
    <x v="2"/>
    <m/>
    <m/>
    <m/>
    <m/>
    <m/>
    <m/>
    <x v="0"/>
    <x v="2"/>
    <x v="0"/>
    <x v="1"/>
    <x v="1"/>
    <x v="2"/>
    <x v="0"/>
    <x v="0"/>
    <x v="0"/>
    <x v="1"/>
    <x v="0"/>
    <x v="2"/>
    <x v="2"/>
    <x v="0"/>
    <x v="1"/>
    <x v="0"/>
    <x v="1"/>
    <x v="1"/>
    <x v="3"/>
    <x v="3"/>
    <x v="2"/>
    <x v="0"/>
    <x v="0"/>
    <x v="0"/>
    <x v="0"/>
    <x v="0"/>
  </r>
  <r>
    <m/>
    <x v="0"/>
    <x v="1"/>
    <x v="1"/>
    <m/>
    <m/>
    <m/>
    <x v="0"/>
    <m/>
    <x v="2"/>
    <m/>
    <m/>
    <m/>
    <m/>
    <m/>
    <m/>
    <m/>
    <m/>
    <m/>
    <m/>
    <m/>
    <m/>
    <x v="0"/>
    <x v="0"/>
    <x v="0"/>
    <m/>
    <m/>
    <x v="2"/>
    <m/>
    <m/>
    <m/>
    <m/>
    <m/>
    <m/>
    <x v="0"/>
    <x v="4"/>
    <x v="2"/>
    <x v="1"/>
    <x v="1"/>
    <x v="2"/>
    <x v="0"/>
    <x v="0"/>
    <x v="0"/>
    <x v="1"/>
    <x v="0"/>
    <x v="1"/>
    <x v="2"/>
    <x v="0"/>
    <x v="2"/>
    <x v="0"/>
    <x v="0"/>
    <x v="1"/>
    <x v="2"/>
    <x v="4"/>
    <x v="3"/>
    <x v="5"/>
    <x v="0"/>
    <x v="0"/>
    <x v="0"/>
    <x v="0"/>
  </r>
  <r>
    <m/>
    <x v="0"/>
    <x v="1"/>
    <x v="1"/>
    <m/>
    <m/>
    <m/>
    <x v="0"/>
    <m/>
    <x v="2"/>
    <m/>
    <m/>
    <m/>
    <m/>
    <m/>
    <m/>
    <m/>
    <m/>
    <m/>
    <m/>
    <m/>
    <m/>
    <x v="0"/>
    <x v="0"/>
    <x v="0"/>
    <m/>
    <m/>
    <x v="0"/>
    <m/>
    <m/>
    <m/>
    <m/>
    <m/>
    <m/>
    <x v="0"/>
    <x v="4"/>
    <x v="0"/>
    <x v="2"/>
    <x v="4"/>
    <x v="2"/>
    <x v="3"/>
    <x v="0"/>
    <x v="0"/>
    <x v="3"/>
    <x v="2"/>
    <x v="1"/>
    <x v="2"/>
    <x v="0"/>
    <x v="0"/>
    <x v="0"/>
    <x v="3"/>
    <x v="2"/>
    <x v="2"/>
    <x v="3"/>
    <x v="2"/>
    <x v="3"/>
    <x v="0"/>
    <x v="0"/>
    <x v="0"/>
    <x v="0"/>
  </r>
  <r>
    <m/>
    <x v="0"/>
    <x v="1"/>
    <x v="1"/>
    <m/>
    <m/>
    <m/>
    <x v="0"/>
    <m/>
    <x v="3"/>
    <m/>
    <m/>
    <m/>
    <m/>
    <m/>
    <m/>
    <m/>
    <m/>
    <m/>
    <m/>
    <m/>
    <m/>
    <x v="0"/>
    <x v="0"/>
    <x v="0"/>
    <m/>
    <m/>
    <x v="2"/>
    <m/>
    <m/>
    <m/>
    <m/>
    <m/>
    <m/>
    <x v="0"/>
    <x v="5"/>
    <x v="0"/>
    <x v="2"/>
    <x v="4"/>
    <x v="3"/>
    <x v="3"/>
    <x v="2"/>
    <x v="0"/>
    <x v="1"/>
    <x v="0"/>
    <x v="2"/>
    <x v="2"/>
    <x v="0"/>
    <x v="1"/>
    <x v="0"/>
    <x v="1"/>
    <x v="1"/>
    <x v="1"/>
    <x v="0"/>
    <x v="2"/>
    <x v="0"/>
    <x v="0"/>
    <x v="0"/>
    <x v="0"/>
    <x v="0"/>
  </r>
  <r>
    <m/>
    <x v="0"/>
    <x v="1"/>
    <x v="1"/>
    <m/>
    <m/>
    <m/>
    <x v="0"/>
    <m/>
    <x v="3"/>
    <m/>
    <m/>
    <m/>
    <m/>
    <m/>
    <m/>
    <m/>
    <m/>
    <m/>
    <m/>
    <m/>
    <m/>
    <x v="0"/>
    <x v="0"/>
    <x v="0"/>
    <m/>
    <m/>
    <x v="2"/>
    <m/>
    <m/>
    <m/>
    <m/>
    <m/>
    <m/>
    <x v="0"/>
    <x v="4"/>
    <x v="2"/>
    <x v="2"/>
    <x v="4"/>
    <x v="3"/>
    <x v="3"/>
    <x v="2"/>
    <x v="1"/>
    <x v="4"/>
    <x v="2"/>
    <x v="1"/>
    <x v="5"/>
    <x v="1"/>
    <x v="2"/>
    <x v="0"/>
    <x v="3"/>
    <x v="2"/>
    <x v="1"/>
    <x v="3"/>
    <x v="3"/>
    <x v="3"/>
    <x v="0"/>
    <x v="0"/>
    <x v="0"/>
    <x v="0"/>
  </r>
  <r>
    <m/>
    <x v="0"/>
    <x v="1"/>
    <x v="1"/>
    <m/>
    <m/>
    <m/>
    <x v="0"/>
    <m/>
    <x v="3"/>
    <m/>
    <m/>
    <m/>
    <m/>
    <m/>
    <m/>
    <m/>
    <m/>
    <m/>
    <m/>
    <m/>
    <m/>
    <x v="0"/>
    <x v="0"/>
    <x v="0"/>
    <m/>
    <m/>
    <x v="0"/>
    <m/>
    <m/>
    <m/>
    <m/>
    <m/>
    <m/>
    <x v="0"/>
    <x v="4"/>
    <x v="0"/>
    <x v="2"/>
    <x v="1"/>
    <x v="3"/>
    <x v="3"/>
    <x v="0"/>
    <x v="0"/>
    <x v="3"/>
    <x v="0"/>
    <x v="2"/>
    <x v="2"/>
    <x v="0"/>
    <x v="0"/>
    <x v="0"/>
    <x v="3"/>
    <x v="1"/>
    <x v="2"/>
    <x v="0"/>
    <x v="3"/>
    <x v="3"/>
    <x v="0"/>
    <x v="0"/>
    <x v="0"/>
    <x v="0"/>
  </r>
  <r>
    <m/>
    <x v="0"/>
    <x v="1"/>
    <x v="0"/>
    <m/>
    <m/>
    <m/>
    <x v="2"/>
    <m/>
    <x v="3"/>
    <m/>
    <m/>
    <m/>
    <m/>
    <m/>
    <m/>
    <m/>
    <m/>
    <m/>
    <m/>
    <m/>
    <m/>
    <x v="4"/>
    <x v="0"/>
    <x v="1"/>
    <m/>
    <m/>
    <x v="0"/>
    <m/>
    <m/>
    <m/>
    <m/>
    <m/>
    <m/>
    <x v="0"/>
    <x v="4"/>
    <x v="0"/>
    <x v="2"/>
    <x v="4"/>
    <x v="3"/>
    <x v="5"/>
    <x v="0"/>
    <x v="0"/>
    <x v="1"/>
    <x v="2"/>
    <x v="0"/>
    <x v="0"/>
    <x v="1"/>
    <x v="0"/>
    <x v="2"/>
    <x v="0"/>
    <x v="2"/>
    <x v="2"/>
    <x v="0"/>
    <x v="3"/>
    <x v="3"/>
    <x v="0"/>
    <x v="0"/>
    <x v="0"/>
    <x v="0"/>
  </r>
  <r>
    <m/>
    <x v="0"/>
    <x v="1"/>
    <x v="1"/>
    <m/>
    <m/>
    <m/>
    <x v="0"/>
    <m/>
    <x v="2"/>
    <m/>
    <m/>
    <m/>
    <m/>
    <m/>
    <m/>
    <m/>
    <m/>
    <m/>
    <m/>
    <m/>
    <m/>
    <x v="0"/>
    <x v="0"/>
    <x v="1"/>
    <m/>
    <m/>
    <x v="2"/>
    <m/>
    <m/>
    <m/>
    <m/>
    <m/>
    <m/>
    <x v="1"/>
    <x v="2"/>
    <x v="0"/>
    <x v="1"/>
    <x v="4"/>
    <x v="2"/>
    <x v="0"/>
    <x v="0"/>
    <x v="0"/>
    <x v="0"/>
    <x v="2"/>
    <x v="2"/>
    <x v="2"/>
    <x v="1"/>
    <x v="0"/>
    <x v="0"/>
    <x v="4"/>
    <x v="1"/>
    <x v="1"/>
    <x v="1"/>
    <x v="2"/>
    <x v="0"/>
    <x v="0"/>
    <x v="0"/>
    <x v="0"/>
    <x v="0"/>
  </r>
  <r>
    <m/>
    <x v="0"/>
    <x v="1"/>
    <x v="1"/>
    <m/>
    <m/>
    <m/>
    <x v="0"/>
    <m/>
    <x v="3"/>
    <m/>
    <m/>
    <m/>
    <m/>
    <m/>
    <m/>
    <m/>
    <m/>
    <m/>
    <m/>
    <m/>
    <m/>
    <x v="0"/>
    <x v="0"/>
    <x v="0"/>
    <m/>
    <m/>
    <x v="0"/>
    <m/>
    <m/>
    <m/>
    <m/>
    <m/>
    <m/>
    <x v="0"/>
    <x v="2"/>
    <x v="0"/>
    <x v="1"/>
    <x v="1"/>
    <x v="3"/>
    <x v="0"/>
    <x v="0"/>
    <x v="0"/>
    <x v="1"/>
    <x v="0"/>
    <x v="2"/>
    <x v="0"/>
    <x v="0"/>
    <x v="0"/>
    <x v="2"/>
    <x v="3"/>
    <x v="1"/>
    <x v="1"/>
    <x v="3"/>
    <x v="2"/>
    <x v="0"/>
    <x v="0"/>
    <x v="0"/>
    <x v="0"/>
    <x v="0"/>
  </r>
  <r>
    <m/>
    <x v="0"/>
    <x v="1"/>
    <x v="0"/>
    <m/>
    <m/>
    <m/>
    <x v="0"/>
    <m/>
    <x v="1"/>
    <m/>
    <m/>
    <m/>
    <m/>
    <m/>
    <m/>
    <m/>
    <m/>
    <m/>
    <m/>
    <m/>
    <m/>
    <x v="5"/>
    <x v="2"/>
    <x v="1"/>
    <m/>
    <m/>
    <x v="2"/>
    <m/>
    <m/>
    <m/>
    <m/>
    <m/>
    <m/>
    <x v="0"/>
    <x v="2"/>
    <x v="0"/>
    <x v="2"/>
    <x v="4"/>
    <x v="1"/>
    <x v="0"/>
    <x v="0"/>
    <x v="0"/>
    <x v="1"/>
    <x v="0"/>
    <x v="1"/>
    <x v="2"/>
    <x v="0"/>
    <x v="0"/>
    <x v="0"/>
    <x v="1"/>
    <x v="1"/>
    <x v="1"/>
    <x v="1"/>
    <x v="2"/>
    <x v="0"/>
    <x v="0"/>
    <x v="0"/>
    <x v="0"/>
    <x v="0"/>
  </r>
  <r>
    <m/>
    <x v="0"/>
    <x v="1"/>
    <x v="1"/>
    <m/>
    <m/>
    <m/>
    <x v="2"/>
    <m/>
    <x v="3"/>
    <m/>
    <m/>
    <m/>
    <m/>
    <m/>
    <m/>
    <m/>
    <m/>
    <m/>
    <m/>
    <m/>
    <m/>
    <x v="0"/>
    <x v="0"/>
    <x v="0"/>
    <m/>
    <m/>
    <x v="0"/>
    <m/>
    <m/>
    <m/>
    <m/>
    <m/>
    <m/>
    <x v="1"/>
    <x v="4"/>
    <x v="2"/>
    <x v="2"/>
    <x v="4"/>
    <x v="3"/>
    <x v="3"/>
    <x v="2"/>
    <x v="0"/>
    <x v="1"/>
    <x v="0"/>
    <x v="1"/>
    <x v="0"/>
    <x v="0"/>
    <x v="1"/>
    <x v="2"/>
    <x v="3"/>
    <x v="2"/>
    <x v="1"/>
    <x v="3"/>
    <x v="3"/>
    <x v="3"/>
    <x v="0"/>
    <x v="0"/>
    <x v="0"/>
    <x v="0"/>
  </r>
  <r>
    <m/>
    <x v="0"/>
    <x v="2"/>
    <x v="1"/>
    <m/>
    <m/>
    <m/>
    <x v="0"/>
    <m/>
    <x v="2"/>
    <m/>
    <m/>
    <m/>
    <m/>
    <m/>
    <m/>
    <m/>
    <m/>
    <m/>
    <m/>
    <m/>
    <m/>
    <x v="0"/>
    <x v="0"/>
    <x v="0"/>
    <m/>
    <m/>
    <x v="2"/>
    <m/>
    <m/>
    <m/>
    <m/>
    <m/>
    <m/>
    <x v="0"/>
    <x v="2"/>
    <x v="0"/>
    <x v="1"/>
    <x v="1"/>
    <x v="2"/>
    <x v="0"/>
    <x v="0"/>
    <x v="0"/>
    <x v="1"/>
    <x v="0"/>
    <x v="2"/>
    <x v="2"/>
    <x v="0"/>
    <x v="1"/>
    <x v="0"/>
    <x v="1"/>
    <x v="1"/>
    <x v="1"/>
    <x v="1"/>
    <x v="2"/>
    <x v="0"/>
    <x v="0"/>
    <x v="0"/>
    <x v="0"/>
    <x v="0"/>
  </r>
  <r>
    <m/>
    <x v="0"/>
    <x v="2"/>
    <x v="1"/>
    <m/>
    <m/>
    <m/>
    <x v="0"/>
    <m/>
    <x v="3"/>
    <m/>
    <m/>
    <m/>
    <m/>
    <m/>
    <m/>
    <m/>
    <m/>
    <m/>
    <m/>
    <m/>
    <m/>
    <x v="0"/>
    <x v="0"/>
    <x v="0"/>
    <m/>
    <m/>
    <x v="2"/>
    <m/>
    <m/>
    <m/>
    <m/>
    <m/>
    <m/>
    <x v="0"/>
    <x v="2"/>
    <x v="0"/>
    <x v="1"/>
    <x v="1"/>
    <x v="3"/>
    <x v="1"/>
    <x v="0"/>
    <x v="0"/>
    <x v="1"/>
    <x v="2"/>
    <x v="2"/>
    <x v="5"/>
    <x v="0"/>
    <x v="2"/>
    <x v="0"/>
    <x v="3"/>
    <x v="2"/>
    <x v="1"/>
    <x v="3"/>
    <x v="2"/>
    <x v="0"/>
    <x v="0"/>
    <x v="0"/>
    <x v="0"/>
    <x v="0"/>
  </r>
  <r>
    <m/>
    <x v="0"/>
    <x v="2"/>
    <x v="1"/>
    <m/>
    <m/>
    <m/>
    <x v="0"/>
    <m/>
    <x v="2"/>
    <m/>
    <m/>
    <m/>
    <m/>
    <m/>
    <m/>
    <m/>
    <m/>
    <m/>
    <m/>
    <m/>
    <m/>
    <x v="0"/>
    <x v="0"/>
    <x v="0"/>
    <m/>
    <m/>
    <x v="2"/>
    <m/>
    <m/>
    <m/>
    <m/>
    <m/>
    <m/>
    <x v="0"/>
    <x v="2"/>
    <x v="0"/>
    <x v="1"/>
    <x v="1"/>
    <x v="2"/>
    <x v="0"/>
    <x v="0"/>
    <x v="0"/>
    <x v="1"/>
    <x v="0"/>
    <x v="2"/>
    <x v="2"/>
    <x v="0"/>
    <x v="1"/>
    <x v="0"/>
    <x v="1"/>
    <x v="1"/>
    <x v="1"/>
    <x v="1"/>
    <x v="2"/>
    <x v="0"/>
    <x v="0"/>
    <x v="0"/>
    <x v="0"/>
    <x v="0"/>
  </r>
  <r>
    <m/>
    <x v="0"/>
    <x v="2"/>
    <x v="1"/>
    <m/>
    <m/>
    <m/>
    <x v="0"/>
    <m/>
    <x v="2"/>
    <m/>
    <m/>
    <m/>
    <m/>
    <m/>
    <m/>
    <m/>
    <m/>
    <m/>
    <m/>
    <m/>
    <m/>
    <x v="0"/>
    <x v="0"/>
    <x v="0"/>
    <m/>
    <m/>
    <x v="2"/>
    <m/>
    <m/>
    <m/>
    <m/>
    <m/>
    <m/>
    <x v="0"/>
    <x v="2"/>
    <x v="0"/>
    <x v="1"/>
    <x v="1"/>
    <x v="2"/>
    <x v="0"/>
    <x v="0"/>
    <x v="0"/>
    <x v="1"/>
    <x v="0"/>
    <x v="2"/>
    <x v="2"/>
    <x v="0"/>
    <x v="1"/>
    <x v="0"/>
    <x v="1"/>
    <x v="1"/>
    <x v="1"/>
    <x v="3"/>
    <x v="2"/>
    <x v="0"/>
    <x v="0"/>
    <x v="0"/>
    <x v="0"/>
    <x v="0"/>
  </r>
  <r>
    <m/>
    <x v="0"/>
    <x v="2"/>
    <x v="1"/>
    <m/>
    <m/>
    <m/>
    <x v="0"/>
    <m/>
    <x v="2"/>
    <m/>
    <m/>
    <m/>
    <m/>
    <m/>
    <m/>
    <m/>
    <m/>
    <m/>
    <m/>
    <m/>
    <m/>
    <x v="0"/>
    <x v="0"/>
    <x v="0"/>
    <m/>
    <m/>
    <x v="2"/>
    <m/>
    <m/>
    <m/>
    <m/>
    <m/>
    <m/>
    <x v="0"/>
    <x v="2"/>
    <x v="0"/>
    <x v="1"/>
    <x v="1"/>
    <x v="2"/>
    <x v="0"/>
    <x v="0"/>
    <x v="0"/>
    <x v="1"/>
    <x v="0"/>
    <x v="2"/>
    <x v="2"/>
    <x v="0"/>
    <x v="1"/>
    <x v="0"/>
    <x v="4"/>
    <x v="3"/>
    <x v="1"/>
    <x v="2"/>
    <x v="2"/>
    <x v="0"/>
    <x v="0"/>
    <x v="0"/>
    <x v="0"/>
    <x v="0"/>
  </r>
  <r>
    <m/>
    <x v="0"/>
    <x v="2"/>
    <x v="1"/>
    <m/>
    <m/>
    <m/>
    <x v="0"/>
    <m/>
    <x v="2"/>
    <m/>
    <m/>
    <m/>
    <m/>
    <m/>
    <m/>
    <m/>
    <m/>
    <m/>
    <m/>
    <m/>
    <m/>
    <x v="0"/>
    <x v="0"/>
    <x v="0"/>
    <m/>
    <m/>
    <x v="2"/>
    <m/>
    <m/>
    <m/>
    <m/>
    <m/>
    <m/>
    <x v="0"/>
    <x v="2"/>
    <x v="0"/>
    <x v="1"/>
    <x v="1"/>
    <x v="2"/>
    <x v="0"/>
    <x v="0"/>
    <x v="0"/>
    <x v="1"/>
    <x v="0"/>
    <x v="2"/>
    <x v="2"/>
    <x v="0"/>
    <x v="1"/>
    <x v="0"/>
    <x v="1"/>
    <x v="1"/>
    <x v="1"/>
    <x v="1"/>
    <x v="2"/>
    <x v="0"/>
    <x v="0"/>
    <x v="0"/>
    <x v="0"/>
    <x v="0"/>
  </r>
  <r>
    <m/>
    <x v="0"/>
    <x v="2"/>
    <x v="1"/>
    <m/>
    <m/>
    <m/>
    <x v="0"/>
    <m/>
    <x v="2"/>
    <m/>
    <m/>
    <m/>
    <m/>
    <m/>
    <m/>
    <m/>
    <m/>
    <m/>
    <m/>
    <m/>
    <m/>
    <x v="0"/>
    <x v="0"/>
    <x v="0"/>
    <m/>
    <m/>
    <x v="2"/>
    <m/>
    <m/>
    <m/>
    <m/>
    <m/>
    <m/>
    <x v="0"/>
    <x v="1"/>
    <x v="0"/>
    <x v="1"/>
    <x v="4"/>
    <x v="2"/>
    <x v="0"/>
    <x v="0"/>
    <x v="0"/>
    <x v="1"/>
    <x v="0"/>
    <x v="2"/>
    <x v="2"/>
    <x v="0"/>
    <x v="1"/>
    <x v="0"/>
    <x v="0"/>
    <x v="2"/>
    <x v="1"/>
    <x v="1"/>
    <x v="2"/>
    <x v="0"/>
    <x v="0"/>
    <x v="0"/>
    <x v="0"/>
    <x v="0"/>
  </r>
  <r>
    <m/>
    <x v="0"/>
    <x v="2"/>
    <x v="1"/>
    <m/>
    <m/>
    <m/>
    <x v="0"/>
    <m/>
    <x v="2"/>
    <m/>
    <m/>
    <m/>
    <m/>
    <m/>
    <m/>
    <m/>
    <m/>
    <m/>
    <m/>
    <m/>
    <m/>
    <x v="0"/>
    <x v="0"/>
    <x v="0"/>
    <m/>
    <m/>
    <x v="2"/>
    <m/>
    <m/>
    <m/>
    <m/>
    <m/>
    <m/>
    <x v="0"/>
    <x v="2"/>
    <x v="0"/>
    <x v="1"/>
    <x v="1"/>
    <x v="2"/>
    <x v="0"/>
    <x v="0"/>
    <x v="0"/>
    <x v="1"/>
    <x v="0"/>
    <x v="2"/>
    <x v="2"/>
    <x v="0"/>
    <x v="1"/>
    <x v="0"/>
    <x v="3"/>
    <x v="4"/>
    <x v="1"/>
    <x v="1"/>
    <x v="2"/>
    <x v="0"/>
    <x v="0"/>
    <x v="0"/>
    <x v="0"/>
    <x v="0"/>
  </r>
  <r>
    <m/>
    <x v="0"/>
    <x v="2"/>
    <x v="1"/>
    <m/>
    <m/>
    <m/>
    <x v="0"/>
    <m/>
    <x v="2"/>
    <m/>
    <m/>
    <m/>
    <m/>
    <m/>
    <m/>
    <m/>
    <m/>
    <m/>
    <m/>
    <m/>
    <m/>
    <x v="0"/>
    <x v="0"/>
    <x v="0"/>
    <m/>
    <m/>
    <x v="2"/>
    <m/>
    <m/>
    <m/>
    <m/>
    <m/>
    <m/>
    <x v="0"/>
    <x v="2"/>
    <x v="0"/>
    <x v="1"/>
    <x v="1"/>
    <x v="2"/>
    <x v="0"/>
    <x v="0"/>
    <x v="0"/>
    <x v="1"/>
    <x v="0"/>
    <x v="2"/>
    <x v="2"/>
    <x v="0"/>
    <x v="1"/>
    <x v="0"/>
    <x v="1"/>
    <x v="1"/>
    <x v="1"/>
    <x v="3"/>
    <x v="2"/>
    <x v="0"/>
    <x v="0"/>
    <x v="0"/>
    <x v="0"/>
    <x v="0"/>
  </r>
  <r>
    <m/>
    <x v="0"/>
    <x v="0"/>
    <x v="1"/>
    <m/>
    <m/>
    <m/>
    <x v="0"/>
    <m/>
    <x v="2"/>
    <m/>
    <m/>
    <m/>
    <m/>
    <m/>
    <m/>
    <m/>
    <m/>
    <m/>
    <m/>
    <m/>
    <m/>
    <x v="0"/>
    <x v="0"/>
    <x v="0"/>
    <m/>
    <m/>
    <x v="2"/>
    <m/>
    <m/>
    <m/>
    <m/>
    <m/>
    <m/>
    <x v="0"/>
    <x v="2"/>
    <x v="0"/>
    <x v="1"/>
    <x v="1"/>
    <x v="2"/>
    <x v="3"/>
    <x v="0"/>
    <x v="0"/>
    <x v="1"/>
    <x v="0"/>
    <x v="2"/>
    <x v="0"/>
    <x v="0"/>
    <x v="1"/>
    <x v="0"/>
    <x v="1"/>
    <x v="1"/>
    <x v="1"/>
    <x v="1"/>
    <x v="2"/>
    <x v="3"/>
    <x v="0"/>
    <x v="0"/>
    <x v="0"/>
    <x v="0"/>
  </r>
  <r>
    <m/>
    <x v="0"/>
    <x v="0"/>
    <x v="1"/>
    <m/>
    <m/>
    <m/>
    <x v="2"/>
    <m/>
    <x v="3"/>
    <m/>
    <m/>
    <m/>
    <m/>
    <m/>
    <m/>
    <m/>
    <m/>
    <m/>
    <m/>
    <m/>
    <m/>
    <x v="0"/>
    <x v="0"/>
    <x v="1"/>
    <m/>
    <m/>
    <x v="0"/>
    <m/>
    <m/>
    <m/>
    <m/>
    <m/>
    <m/>
    <x v="1"/>
    <x v="4"/>
    <x v="2"/>
    <x v="2"/>
    <x v="4"/>
    <x v="3"/>
    <x v="3"/>
    <x v="2"/>
    <x v="1"/>
    <x v="0"/>
    <x v="2"/>
    <x v="1"/>
    <x v="0"/>
    <x v="3"/>
    <x v="0"/>
    <x v="2"/>
    <x v="3"/>
    <x v="2"/>
    <x v="2"/>
    <x v="3"/>
    <x v="3"/>
    <x v="2"/>
    <x v="0"/>
    <x v="0"/>
    <x v="0"/>
    <x v="0"/>
  </r>
  <r>
    <m/>
    <x v="0"/>
    <x v="0"/>
    <x v="0"/>
    <m/>
    <m/>
    <m/>
    <x v="0"/>
    <m/>
    <x v="2"/>
    <m/>
    <m/>
    <m/>
    <m/>
    <m/>
    <m/>
    <m/>
    <m/>
    <m/>
    <m/>
    <m/>
    <m/>
    <x v="0"/>
    <x v="0"/>
    <x v="0"/>
    <m/>
    <m/>
    <x v="2"/>
    <m/>
    <m/>
    <m/>
    <m/>
    <m/>
    <m/>
    <x v="0"/>
    <x v="2"/>
    <x v="0"/>
    <x v="1"/>
    <x v="1"/>
    <x v="2"/>
    <x v="0"/>
    <x v="0"/>
    <x v="0"/>
    <x v="1"/>
    <x v="0"/>
    <x v="1"/>
    <x v="2"/>
    <x v="0"/>
    <x v="1"/>
    <x v="0"/>
    <x v="3"/>
    <x v="1"/>
    <x v="1"/>
    <x v="3"/>
    <x v="2"/>
    <x v="3"/>
    <x v="0"/>
    <x v="0"/>
    <x v="0"/>
    <x v="0"/>
  </r>
  <r>
    <m/>
    <x v="0"/>
    <x v="0"/>
    <x v="0"/>
    <m/>
    <m/>
    <m/>
    <x v="0"/>
    <m/>
    <x v="2"/>
    <m/>
    <m/>
    <m/>
    <m/>
    <m/>
    <m/>
    <m/>
    <m/>
    <m/>
    <m/>
    <m/>
    <m/>
    <x v="0"/>
    <x v="0"/>
    <x v="0"/>
    <m/>
    <m/>
    <x v="2"/>
    <m/>
    <m/>
    <m/>
    <m/>
    <m/>
    <m/>
    <x v="0"/>
    <x v="2"/>
    <x v="0"/>
    <x v="1"/>
    <x v="1"/>
    <x v="2"/>
    <x v="3"/>
    <x v="0"/>
    <x v="0"/>
    <x v="1"/>
    <x v="2"/>
    <x v="1"/>
    <x v="3"/>
    <x v="0"/>
    <x v="0"/>
    <x v="0"/>
    <x v="0"/>
    <x v="2"/>
    <x v="3"/>
    <x v="3"/>
    <x v="2"/>
    <x v="2"/>
    <x v="0"/>
    <x v="0"/>
    <x v="0"/>
    <x v="0"/>
  </r>
  <r>
    <m/>
    <x v="0"/>
    <x v="0"/>
    <x v="1"/>
    <m/>
    <m/>
    <m/>
    <x v="0"/>
    <m/>
    <x v="0"/>
    <m/>
    <m/>
    <m/>
    <m/>
    <m/>
    <m/>
    <m/>
    <m/>
    <m/>
    <m/>
    <m/>
    <m/>
    <x v="0"/>
    <x v="0"/>
    <x v="0"/>
    <m/>
    <m/>
    <x v="2"/>
    <m/>
    <m/>
    <m/>
    <m/>
    <m/>
    <m/>
    <x v="0"/>
    <x v="5"/>
    <x v="2"/>
    <x v="2"/>
    <x v="1"/>
    <x v="0"/>
    <x v="0"/>
    <x v="0"/>
    <x v="0"/>
    <x v="1"/>
    <x v="0"/>
    <x v="3"/>
    <x v="3"/>
    <x v="0"/>
    <x v="1"/>
    <x v="0"/>
    <x v="1"/>
    <x v="1"/>
    <x v="1"/>
    <x v="1"/>
    <x v="0"/>
    <x v="0"/>
    <x v="0"/>
    <x v="0"/>
    <x v="0"/>
    <x v="0"/>
  </r>
  <r>
    <m/>
    <x v="0"/>
    <x v="0"/>
    <x v="0"/>
    <m/>
    <m/>
    <m/>
    <x v="0"/>
    <m/>
    <x v="3"/>
    <m/>
    <m/>
    <m/>
    <m/>
    <m/>
    <m/>
    <m/>
    <m/>
    <m/>
    <m/>
    <m/>
    <m/>
    <x v="0"/>
    <x v="0"/>
    <x v="1"/>
    <m/>
    <m/>
    <x v="0"/>
    <m/>
    <m/>
    <m/>
    <m/>
    <m/>
    <m/>
    <x v="1"/>
    <x v="4"/>
    <x v="2"/>
    <x v="2"/>
    <x v="0"/>
    <x v="3"/>
    <x v="3"/>
    <x v="2"/>
    <x v="1"/>
    <x v="3"/>
    <x v="2"/>
    <x v="3"/>
    <x v="3"/>
    <x v="1"/>
    <x v="5"/>
    <x v="2"/>
    <x v="3"/>
    <x v="2"/>
    <x v="2"/>
    <x v="3"/>
    <x v="3"/>
    <x v="3"/>
    <x v="0"/>
    <x v="0"/>
    <x v="0"/>
    <x v="0"/>
  </r>
  <r>
    <m/>
    <x v="0"/>
    <x v="0"/>
    <x v="0"/>
    <m/>
    <m/>
    <m/>
    <x v="0"/>
    <m/>
    <x v="2"/>
    <m/>
    <m/>
    <m/>
    <m/>
    <m/>
    <m/>
    <m/>
    <m/>
    <m/>
    <m/>
    <m/>
    <m/>
    <x v="0"/>
    <x v="0"/>
    <x v="0"/>
    <m/>
    <m/>
    <x v="2"/>
    <m/>
    <m/>
    <m/>
    <m/>
    <m/>
    <m/>
    <x v="1"/>
    <x v="4"/>
    <x v="4"/>
    <x v="2"/>
    <x v="4"/>
    <x v="2"/>
    <x v="0"/>
    <x v="0"/>
    <x v="0"/>
    <x v="0"/>
    <x v="0"/>
    <x v="0"/>
    <x v="0"/>
    <x v="1"/>
    <x v="0"/>
    <x v="0"/>
    <x v="1"/>
    <x v="1"/>
    <x v="1"/>
    <x v="3"/>
    <x v="2"/>
    <x v="3"/>
    <x v="0"/>
    <x v="0"/>
    <x v="0"/>
    <x v="0"/>
  </r>
  <r>
    <m/>
    <x v="0"/>
    <x v="0"/>
    <x v="0"/>
    <m/>
    <m/>
    <m/>
    <x v="0"/>
    <m/>
    <x v="3"/>
    <m/>
    <m/>
    <m/>
    <m/>
    <m/>
    <m/>
    <m/>
    <m/>
    <m/>
    <m/>
    <m/>
    <m/>
    <x v="4"/>
    <x v="0"/>
    <x v="4"/>
    <m/>
    <m/>
    <x v="0"/>
    <m/>
    <m/>
    <m/>
    <m/>
    <m/>
    <m/>
    <x v="2"/>
    <x v="1"/>
    <x v="2"/>
    <x v="2"/>
    <x v="0"/>
    <x v="3"/>
    <x v="3"/>
    <x v="1"/>
    <x v="0"/>
    <x v="1"/>
    <x v="2"/>
    <x v="1"/>
    <x v="2"/>
    <x v="1"/>
    <x v="2"/>
    <x v="2"/>
    <x v="0"/>
    <x v="2"/>
    <x v="2"/>
    <x v="0"/>
    <x v="3"/>
    <x v="5"/>
    <x v="0"/>
    <x v="0"/>
    <x v="0"/>
    <x v="0"/>
  </r>
  <r>
    <m/>
    <x v="0"/>
    <x v="0"/>
    <x v="0"/>
    <m/>
    <m/>
    <m/>
    <x v="2"/>
    <m/>
    <x v="3"/>
    <m/>
    <m/>
    <m/>
    <m/>
    <m/>
    <m/>
    <m/>
    <m/>
    <m/>
    <m/>
    <m/>
    <m/>
    <x v="5"/>
    <x v="0"/>
    <x v="1"/>
    <m/>
    <m/>
    <x v="2"/>
    <m/>
    <m/>
    <m/>
    <m/>
    <m/>
    <m/>
    <x v="0"/>
    <x v="2"/>
    <x v="0"/>
    <x v="1"/>
    <x v="4"/>
    <x v="3"/>
    <x v="0"/>
    <x v="2"/>
    <x v="0"/>
    <x v="3"/>
    <x v="0"/>
    <x v="1"/>
    <x v="2"/>
    <x v="4"/>
    <x v="3"/>
    <x v="0"/>
    <x v="0"/>
    <x v="1"/>
    <x v="1"/>
    <x v="1"/>
    <x v="3"/>
    <x v="0"/>
    <x v="0"/>
    <x v="0"/>
    <x v="0"/>
    <x v="0"/>
  </r>
  <r>
    <m/>
    <x v="0"/>
    <x v="3"/>
    <x v="0"/>
    <m/>
    <m/>
    <m/>
    <x v="0"/>
    <m/>
    <x v="3"/>
    <m/>
    <m/>
    <m/>
    <m/>
    <m/>
    <m/>
    <m/>
    <m/>
    <m/>
    <m/>
    <m/>
    <m/>
    <x v="0"/>
    <x v="0"/>
    <x v="0"/>
    <m/>
    <m/>
    <x v="0"/>
    <m/>
    <m/>
    <m/>
    <m/>
    <m/>
    <m/>
    <x v="4"/>
    <x v="0"/>
    <x v="2"/>
    <x v="2"/>
    <x v="1"/>
    <x v="3"/>
    <x v="3"/>
    <x v="0"/>
    <x v="1"/>
    <x v="5"/>
    <x v="4"/>
    <x v="3"/>
    <x v="0"/>
    <x v="1"/>
    <x v="3"/>
    <x v="2"/>
    <x v="4"/>
    <x v="0"/>
    <x v="2"/>
    <x v="4"/>
    <x v="2"/>
    <x v="6"/>
    <x v="0"/>
    <x v="0"/>
    <x v="0"/>
    <x v="0"/>
  </r>
  <r>
    <m/>
    <x v="0"/>
    <x v="3"/>
    <x v="0"/>
    <m/>
    <m/>
    <m/>
    <x v="3"/>
    <m/>
    <x v="3"/>
    <m/>
    <m/>
    <m/>
    <m/>
    <m/>
    <m/>
    <m/>
    <m/>
    <m/>
    <m/>
    <m/>
    <m/>
    <x v="5"/>
    <x v="0"/>
    <x v="2"/>
    <m/>
    <m/>
    <x v="3"/>
    <m/>
    <m/>
    <m/>
    <m/>
    <m/>
    <m/>
    <x v="2"/>
    <x v="4"/>
    <x v="5"/>
    <x v="2"/>
    <x v="4"/>
    <x v="3"/>
    <x v="3"/>
    <x v="0"/>
    <x v="0"/>
    <x v="0"/>
    <x v="5"/>
    <x v="1"/>
    <x v="2"/>
    <x v="3"/>
    <x v="5"/>
    <x v="3"/>
    <x v="3"/>
    <x v="2"/>
    <x v="2"/>
    <x v="2"/>
    <x v="0"/>
    <x v="2"/>
    <x v="0"/>
    <x v="0"/>
    <x v="0"/>
    <x v="0"/>
  </r>
  <r>
    <m/>
    <x v="0"/>
    <x v="3"/>
    <x v="2"/>
    <m/>
    <m/>
    <m/>
    <x v="2"/>
    <m/>
    <x v="2"/>
    <m/>
    <m/>
    <m/>
    <m/>
    <m/>
    <m/>
    <m/>
    <m/>
    <m/>
    <m/>
    <m/>
    <m/>
    <x v="5"/>
    <x v="0"/>
    <x v="5"/>
    <m/>
    <m/>
    <x v="2"/>
    <m/>
    <m/>
    <m/>
    <m/>
    <m/>
    <m/>
    <x v="2"/>
    <x v="5"/>
    <x v="2"/>
    <x v="2"/>
    <x v="0"/>
    <x v="2"/>
    <x v="0"/>
    <x v="2"/>
    <x v="1"/>
    <x v="4"/>
    <x v="3"/>
    <x v="1"/>
    <x v="0"/>
    <x v="1"/>
    <x v="1"/>
    <x v="0"/>
    <x v="3"/>
    <x v="1"/>
    <x v="2"/>
    <x v="0"/>
    <x v="4"/>
    <x v="0"/>
    <x v="0"/>
    <x v="0"/>
    <x v="0"/>
    <x v="0"/>
  </r>
  <r>
    <m/>
    <x v="0"/>
    <x v="3"/>
    <x v="0"/>
    <m/>
    <m/>
    <m/>
    <x v="2"/>
    <m/>
    <x v="3"/>
    <m/>
    <m/>
    <m/>
    <m/>
    <m/>
    <m/>
    <m/>
    <m/>
    <m/>
    <m/>
    <m/>
    <m/>
    <x v="4"/>
    <x v="5"/>
    <x v="0"/>
    <m/>
    <m/>
    <x v="0"/>
    <m/>
    <m/>
    <m/>
    <m/>
    <m/>
    <m/>
    <x v="0"/>
    <x v="5"/>
    <x v="2"/>
    <x v="5"/>
    <x v="1"/>
    <x v="3"/>
    <x v="3"/>
    <x v="0"/>
    <x v="0"/>
    <x v="3"/>
    <x v="5"/>
    <x v="4"/>
    <x v="4"/>
    <x v="1"/>
    <x v="3"/>
    <x v="0"/>
    <x v="1"/>
    <x v="1"/>
    <x v="1"/>
    <x v="3"/>
    <x v="2"/>
    <x v="3"/>
    <x v="0"/>
    <x v="0"/>
    <x v="0"/>
    <x v="0"/>
  </r>
  <r>
    <m/>
    <x v="0"/>
    <x v="3"/>
    <x v="0"/>
    <m/>
    <m/>
    <m/>
    <x v="2"/>
    <m/>
    <x v="3"/>
    <m/>
    <m/>
    <m/>
    <m/>
    <m/>
    <m/>
    <m/>
    <m/>
    <m/>
    <m/>
    <m/>
    <m/>
    <x v="4"/>
    <x v="0"/>
    <x v="2"/>
    <m/>
    <m/>
    <x v="2"/>
    <m/>
    <m/>
    <m/>
    <m/>
    <m/>
    <m/>
    <x v="0"/>
    <x v="2"/>
    <x v="0"/>
    <x v="1"/>
    <x v="4"/>
    <x v="3"/>
    <x v="0"/>
    <x v="0"/>
    <x v="0"/>
    <x v="3"/>
    <x v="2"/>
    <x v="1"/>
    <x v="0"/>
    <x v="1"/>
    <x v="0"/>
    <x v="0"/>
    <x v="1"/>
    <x v="2"/>
    <x v="1"/>
    <x v="1"/>
    <x v="2"/>
    <x v="3"/>
    <x v="0"/>
    <x v="0"/>
    <x v="0"/>
    <x v="0"/>
  </r>
  <r>
    <m/>
    <x v="0"/>
    <x v="3"/>
    <x v="0"/>
    <m/>
    <m/>
    <m/>
    <x v="2"/>
    <m/>
    <x v="3"/>
    <m/>
    <m/>
    <m/>
    <m/>
    <m/>
    <m/>
    <m/>
    <m/>
    <m/>
    <m/>
    <m/>
    <m/>
    <x v="4"/>
    <x v="3"/>
    <x v="0"/>
    <m/>
    <m/>
    <x v="3"/>
    <m/>
    <m/>
    <m/>
    <m/>
    <m/>
    <m/>
    <x v="0"/>
    <x v="2"/>
    <x v="2"/>
    <x v="2"/>
    <x v="4"/>
    <x v="3"/>
    <x v="0"/>
    <x v="2"/>
    <x v="1"/>
    <x v="0"/>
    <x v="2"/>
    <x v="0"/>
    <x v="3"/>
    <x v="1"/>
    <x v="2"/>
    <x v="0"/>
    <x v="3"/>
    <x v="2"/>
    <x v="1"/>
    <x v="0"/>
    <x v="2"/>
    <x v="2"/>
    <x v="0"/>
    <x v="0"/>
    <x v="0"/>
    <x v="0"/>
  </r>
  <r>
    <m/>
    <x v="0"/>
    <x v="3"/>
    <x v="0"/>
    <m/>
    <m/>
    <m/>
    <x v="0"/>
    <m/>
    <x v="3"/>
    <m/>
    <m/>
    <m/>
    <m/>
    <m/>
    <m/>
    <m/>
    <m/>
    <m/>
    <m/>
    <m/>
    <m/>
    <x v="4"/>
    <x v="3"/>
    <x v="4"/>
    <m/>
    <m/>
    <x v="2"/>
    <m/>
    <m/>
    <m/>
    <m/>
    <m/>
    <m/>
    <x v="1"/>
    <x v="4"/>
    <x v="2"/>
    <x v="2"/>
    <x v="4"/>
    <x v="3"/>
    <x v="3"/>
    <x v="0"/>
    <x v="0"/>
    <x v="4"/>
    <x v="5"/>
    <x v="1"/>
    <x v="0"/>
    <x v="1"/>
    <x v="0"/>
    <x v="2"/>
    <x v="3"/>
    <x v="4"/>
    <x v="2"/>
    <x v="3"/>
    <x v="2"/>
    <x v="3"/>
    <x v="0"/>
    <x v="0"/>
    <x v="0"/>
    <x v="0"/>
  </r>
  <r>
    <m/>
    <x v="1"/>
    <x v="1"/>
    <x v="0"/>
    <m/>
    <m/>
    <m/>
    <x v="0"/>
    <m/>
    <x v="3"/>
    <m/>
    <m/>
    <m/>
    <m/>
    <m/>
    <m/>
    <m/>
    <m/>
    <m/>
    <m/>
    <m/>
    <m/>
    <x v="0"/>
    <x v="0"/>
    <x v="0"/>
    <m/>
    <m/>
    <x v="2"/>
    <m/>
    <m/>
    <m/>
    <m/>
    <m/>
    <m/>
    <x v="0"/>
    <x v="4"/>
    <x v="2"/>
    <x v="2"/>
    <x v="1"/>
    <x v="2"/>
    <x v="3"/>
    <x v="0"/>
    <x v="0"/>
    <x v="0"/>
    <x v="0"/>
    <x v="1"/>
    <x v="4"/>
    <x v="0"/>
    <x v="1"/>
    <x v="2"/>
    <x v="3"/>
    <x v="0"/>
    <x v="2"/>
    <x v="2"/>
    <x v="3"/>
    <x v="0"/>
    <x v="0"/>
    <x v="0"/>
    <x v="0"/>
    <x v="0"/>
  </r>
  <r>
    <m/>
    <x v="1"/>
    <x v="1"/>
    <x v="0"/>
    <m/>
    <m/>
    <m/>
    <x v="0"/>
    <m/>
    <x v="3"/>
    <m/>
    <m/>
    <m/>
    <m/>
    <m/>
    <m/>
    <m/>
    <m/>
    <m/>
    <m/>
    <m/>
    <m/>
    <x v="0"/>
    <x v="0"/>
    <x v="0"/>
    <m/>
    <m/>
    <x v="2"/>
    <m/>
    <m/>
    <m/>
    <m/>
    <m/>
    <m/>
    <x v="0"/>
    <x v="2"/>
    <x v="2"/>
    <x v="1"/>
    <x v="1"/>
    <x v="2"/>
    <x v="0"/>
    <x v="0"/>
    <x v="0"/>
    <x v="1"/>
    <x v="0"/>
    <x v="1"/>
    <x v="2"/>
    <x v="0"/>
    <x v="0"/>
    <x v="0"/>
    <x v="3"/>
    <x v="1"/>
    <x v="1"/>
    <x v="1"/>
    <x v="2"/>
    <x v="0"/>
    <x v="0"/>
    <x v="0"/>
    <x v="0"/>
    <x v="0"/>
  </r>
  <r>
    <m/>
    <x v="1"/>
    <x v="1"/>
    <x v="0"/>
    <m/>
    <m/>
    <m/>
    <x v="0"/>
    <m/>
    <x v="0"/>
    <m/>
    <m/>
    <m/>
    <m/>
    <m/>
    <m/>
    <m/>
    <m/>
    <m/>
    <m/>
    <m/>
    <m/>
    <x v="5"/>
    <x v="0"/>
    <x v="0"/>
    <m/>
    <m/>
    <x v="2"/>
    <m/>
    <m/>
    <m/>
    <m/>
    <m/>
    <m/>
    <x v="0"/>
    <x v="4"/>
    <x v="0"/>
    <x v="0"/>
    <x v="4"/>
    <x v="3"/>
    <x v="0"/>
    <x v="0"/>
    <x v="0"/>
    <x v="3"/>
    <x v="0"/>
    <x v="2"/>
    <x v="3"/>
    <x v="0"/>
    <x v="0"/>
    <x v="0"/>
    <x v="3"/>
    <x v="2"/>
    <x v="1"/>
    <x v="1"/>
    <x v="2"/>
    <x v="0"/>
    <x v="0"/>
    <x v="0"/>
    <x v="0"/>
    <x v="0"/>
  </r>
  <r>
    <m/>
    <x v="1"/>
    <x v="1"/>
    <x v="0"/>
    <m/>
    <m/>
    <m/>
    <x v="2"/>
    <m/>
    <x v="4"/>
    <m/>
    <m/>
    <m/>
    <m/>
    <m/>
    <m/>
    <m/>
    <m/>
    <m/>
    <m/>
    <m/>
    <m/>
    <x v="0"/>
    <x v="0"/>
    <x v="1"/>
    <m/>
    <m/>
    <x v="0"/>
    <m/>
    <m/>
    <m/>
    <m/>
    <m/>
    <m/>
    <x v="1"/>
    <x v="4"/>
    <x v="2"/>
    <x v="2"/>
    <x v="4"/>
    <x v="3"/>
    <x v="3"/>
    <x v="2"/>
    <x v="1"/>
    <x v="3"/>
    <x v="2"/>
    <x v="1"/>
    <x v="0"/>
    <x v="1"/>
    <x v="0"/>
    <x v="2"/>
    <x v="3"/>
    <x v="2"/>
    <x v="2"/>
    <x v="3"/>
    <x v="3"/>
    <x v="5"/>
    <x v="0"/>
    <x v="0"/>
    <x v="0"/>
    <x v="0"/>
  </r>
  <r>
    <m/>
    <x v="1"/>
    <x v="1"/>
    <x v="1"/>
    <m/>
    <m/>
    <m/>
    <x v="0"/>
    <m/>
    <x v="2"/>
    <m/>
    <m/>
    <m/>
    <m/>
    <m/>
    <m/>
    <m/>
    <m/>
    <m/>
    <m/>
    <m/>
    <m/>
    <x v="0"/>
    <x v="0"/>
    <x v="0"/>
    <m/>
    <m/>
    <x v="2"/>
    <m/>
    <m/>
    <m/>
    <m/>
    <m/>
    <m/>
    <x v="0"/>
    <x v="0"/>
    <x v="2"/>
    <x v="1"/>
    <x v="1"/>
    <x v="2"/>
    <x v="3"/>
    <x v="0"/>
    <x v="0"/>
    <x v="1"/>
    <x v="2"/>
    <x v="1"/>
    <x v="0"/>
    <x v="0"/>
    <x v="1"/>
    <x v="0"/>
    <x v="1"/>
    <x v="1"/>
    <x v="1"/>
    <x v="1"/>
    <x v="3"/>
    <x v="2"/>
    <x v="0"/>
    <x v="0"/>
    <x v="0"/>
    <x v="0"/>
  </r>
  <r>
    <m/>
    <x v="1"/>
    <x v="1"/>
    <x v="0"/>
    <m/>
    <m/>
    <m/>
    <x v="0"/>
    <m/>
    <x v="2"/>
    <m/>
    <m/>
    <m/>
    <m/>
    <m/>
    <m/>
    <m/>
    <m/>
    <m/>
    <m/>
    <m/>
    <m/>
    <x v="0"/>
    <x v="0"/>
    <x v="0"/>
    <m/>
    <m/>
    <x v="3"/>
    <m/>
    <m/>
    <m/>
    <m/>
    <m/>
    <m/>
    <x v="0"/>
    <x v="2"/>
    <x v="0"/>
    <x v="1"/>
    <x v="1"/>
    <x v="2"/>
    <x v="0"/>
    <x v="0"/>
    <x v="0"/>
    <x v="1"/>
    <x v="0"/>
    <x v="2"/>
    <x v="2"/>
    <x v="0"/>
    <x v="1"/>
    <x v="0"/>
    <x v="1"/>
    <x v="1"/>
    <x v="1"/>
    <x v="1"/>
    <x v="2"/>
    <x v="0"/>
    <x v="0"/>
    <x v="0"/>
    <x v="0"/>
    <x v="0"/>
  </r>
  <r>
    <m/>
    <x v="1"/>
    <x v="1"/>
    <x v="0"/>
    <m/>
    <m/>
    <m/>
    <x v="0"/>
    <m/>
    <x v="3"/>
    <m/>
    <m/>
    <m/>
    <m/>
    <m/>
    <m/>
    <m/>
    <m/>
    <m/>
    <m/>
    <m/>
    <m/>
    <x v="0"/>
    <x v="0"/>
    <x v="0"/>
    <m/>
    <m/>
    <x v="2"/>
    <m/>
    <m/>
    <m/>
    <m/>
    <m/>
    <m/>
    <x v="0"/>
    <x v="4"/>
    <x v="2"/>
    <x v="1"/>
    <x v="4"/>
    <x v="3"/>
    <x v="3"/>
    <x v="0"/>
    <x v="0"/>
    <x v="3"/>
    <x v="0"/>
    <x v="0"/>
    <x v="0"/>
    <x v="0"/>
    <x v="0"/>
    <x v="0"/>
    <x v="3"/>
    <x v="1"/>
    <x v="1"/>
    <x v="3"/>
    <x v="4"/>
    <x v="3"/>
    <x v="0"/>
    <x v="0"/>
    <x v="0"/>
    <x v="0"/>
  </r>
  <r>
    <m/>
    <x v="1"/>
    <x v="1"/>
    <x v="0"/>
    <m/>
    <m/>
    <m/>
    <x v="0"/>
    <m/>
    <x v="2"/>
    <m/>
    <m/>
    <m/>
    <m/>
    <m/>
    <m/>
    <m/>
    <m/>
    <m/>
    <m/>
    <m/>
    <m/>
    <x v="0"/>
    <x v="0"/>
    <x v="0"/>
    <m/>
    <m/>
    <x v="2"/>
    <m/>
    <m/>
    <m/>
    <m/>
    <m/>
    <m/>
    <x v="1"/>
    <x v="5"/>
    <x v="0"/>
    <x v="1"/>
    <x v="4"/>
    <x v="2"/>
    <x v="0"/>
    <x v="0"/>
    <x v="0"/>
    <x v="1"/>
    <x v="0"/>
    <x v="1"/>
    <x v="2"/>
    <x v="0"/>
    <x v="0"/>
    <x v="0"/>
    <x v="0"/>
    <x v="3"/>
    <x v="3"/>
    <x v="3"/>
    <x v="5"/>
    <x v="3"/>
    <x v="0"/>
    <x v="0"/>
    <x v="0"/>
    <x v="0"/>
  </r>
  <r>
    <m/>
    <x v="1"/>
    <x v="1"/>
    <x v="0"/>
    <m/>
    <m/>
    <m/>
    <x v="0"/>
    <m/>
    <x v="2"/>
    <m/>
    <m/>
    <m/>
    <m/>
    <m/>
    <m/>
    <m/>
    <m/>
    <m/>
    <m/>
    <m/>
    <m/>
    <x v="0"/>
    <x v="0"/>
    <x v="0"/>
    <m/>
    <m/>
    <x v="2"/>
    <m/>
    <m/>
    <m/>
    <m/>
    <m/>
    <m/>
    <x v="4"/>
    <x v="0"/>
    <x v="2"/>
    <x v="2"/>
    <x v="4"/>
    <x v="2"/>
    <x v="3"/>
    <x v="0"/>
    <x v="0"/>
    <x v="0"/>
    <x v="2"/>
    <x v="1"/>
    <x v="2"/>
    <x v="3"/>
    <x v="0"/>
    <x v="0"/>
    <x v="0"/>
    <x v="4"/>
    <x v="2"/>
    <x v="2"/>
    <x v="4"/>
    <x v="3"/>
    <x v="0"/>
    <x v="0"/>
    <x v="0"/>
    <x v="0"/>
  </r>
  <r>
    <m/>
    <x v="1"/>
    <x v="1"/>
    <x v="0"/>
    <m/>
    <m/>
    <m/>
    <x v="0"/>
    <m/>
    <x v="0"/>
    <m/>
    <m/>
    <m/>
    <m/>
    <m/>
    <m/>
    <m/>
    <m/>
    <m/>
    <m/>
    <m/>
    <m/>
    <x v="5"/>
    <x v="2"/>
    <x v="0"/>
    <m/>
    <m/>
    <x v="2"/>
    <m/>
    <m/>
    <m/>
    <m/>
    <m/>
    <m/>
    <x v="0"/>
    <x v="0"/>
    <x v="2"/>
    <x v="1"/>
    <x v="1"/>
    <x v="2"/>
    <x v="0"/>
    <x v="0"/>
    <x v="0"/>
    <x v="5"/>
    <x v="0"/>
    <x v="3"/>
    <x v="3"/>
    <x v="2"/>
    <x v="3"/>
    <x v="0"/>
    <x v="4"/>
    <x v="1"/>
    <x v="4"/>
    <x v="3"/>
    <x v="5"/>
    <x v="0"/>
    <x v="0"/>
    <x v="0"/>
    <x v="0"/>
    <x v="0"/>
  </r>
  <r>
    <m/>
    <x v="1"/>
    <x v="1"/>
    <x v="1"/>
    <m/>
    <m/>
    <m/>
    <x v="0"/>
    <m/>
    <x v="0"/>
    <m/>
    <m/>
    <m/>
    <m/>
    <m/>
    <m/>
    <m/>
    <m/>
    <m/>
    <m/>
    <m/>
    <m/>
    <x v="0"/>
    <x v="0"/>
    <x v="0"/>
    <m/>
    <m/>
    <x v="2"/>
    <m/>
    <m/>
    <m/>
    <m/>
    <m/>
    <m/>
    <x v="0"/>
    <x v="2"/>
    <x v="2"/>
    <x v="2"/>
    <x v="1"/>
    <x v="2"/>
    <x v="3"/>
    <x v="0"/>
    <x v="4"/>
    <x v="1"/>
    <x v="0"/>
    <x v="2"/>
    <x v="2"/>
    <x v="0"/>
    <x v="1"/>
    <x v="0"/>
    <x v="4"/>
    <x v="1"/>
    <x v="1"/>
    <x v="1"/>
    <x v="2"/>
    <x v="2"/>
    <x v="0"/>
    <x v="0"/>
    <x v="0"/>
    <x v="0"/>
  </r>
  <r>
    <m/>
    <x v="1"/>
    <x v="1"/>
    <x v="0"/>
    <m/>
    <m/>
    <m/>
    <x v="2"/>
    <m/>
    <x v="3"/>
    <m/>
    <m/>
    <m/>
    <m/>
    <m/>
    <m/>
    <m/>
    <m/>
    <m/>
    <m/>
    <m/>
    <m/>
    <x v="1"/>
    <x v="4"/>
    <x v="1"/>
    <m/>
    <m/>
    <x v="0"/>
    <m/>
    <m/>
    <m/>
    <m/>
    <m/>
    <m/>
    <x v="1"/>
    <x v="4"/>
    <x v="0"/>
    <x v="2"/>
    <x v="4"/>
    <x v="2"/>
    <x v="3"/>
    <x v="2"/>
    <x v="0"/>
    <x v="3"/>
    <x v="2"/>
    <x v="1"/>
    <x v="0"/>
    <x v="1"/>
    <x v="0"/>
    <x v="0"/>
    <x v="3"/>
    <x v="2"/>
    <x v="3"/>
    <x v="1"/>
    <x v="3"/>
    <x v="3"/>
    <x v="0"/>
    <x v="0"/>
    <x v="0"/>
    <x v="0"/>
  </r>
  <r>
    <m/>
    <x v="1"/>
    <x v="1"/>
    <x v="0"/>
    <m/>
    <m/>
    <m/>
    <x v="0"/>
    <m/>
    <x v="3"/>
    <m/>
    <m/>
    <m/>
    <m/>
    <m/>
    <m/>
    <m/>
    <m/>
    <m/>
    <m/>
    <m/>
    <m/>
    <x v="0"/>
    <x v="0"/>
    <x v="1"/>
    <m/>
    <m/>
    <x v="0"/>
    <m/>
    <m/>
    <m/>
    <m/>
    <m/>
    <m/>
    <x v="1"/>
    <x v="4"/>
    <x v="2"/>
    <x v="1"/>
    <x v="4"/>
    <x v="3"/>
    <x v="3"/>
    <x v="2"/>
    <x v="0"/>
    <x v="2"/>
    <x v="2"/>
    <x v="1"/>
    <x v="4"/>
    <x v="0"/>
    <x v="1"/>
    <x v="2"/>
    <x v="3"/>
    <x v="0"/>
    <x v="1"/>
    <x v="1"/>
    <x v="1"/>
    <x v="3"/>
    <x v="0"/>
    <x v="0"/>
    <x v="0"/>
    <x v="0"/>
  </r>
  <r>
    <m/>
    <x v="1"/>
    <x v="1"/>
    <x v="0"/>
    <m/>
    <m/>
    <m/>
    <x v="0"/>
    <m/>
    <x v="2"/>
    <m/>
    <m/>
    <m/>
    <m/>
    <m/>
    <m/>
    <m/>
    <m/>
    <m/>
    <m/>
    <m/>
    <m/>
    <x v="0"/>
    <x v="0"/>
    <x v="0"/>
    <m/>
    <m/>
    <x v="2"/>
    <m/>
    <m/>
    <m/>
    <m/>
    <m/>
    <m/>
    <x v="0"/>
    <x v="2"/>
    <x v="0"/>
    <x v="1"/>
    <x v="4"/>
    <x v="2"/>
    <x v="0"/>
    <x v="0"/>
    <x v="0"/>
    <x v="1"/>
    <x v="0"/>
    <x v="2"/>
    <x v="2"/>
    <x v="0"/>
    <x v="1"/>
    <x v="0"/>
    <x v="3"/>
    <x v="1"/>
    <x v="1"/>
    <x v="1"/>
    <x v="4"/>
    <x v="0"/>
    <x v="0"/>
    <x v="0"/>
    <x v="0"/>
    <x v="0"/>
  </r>
  <r>
    <m/>
    <x v="1"/>
    <x v="1"/>
    <x v="0"/>
    <m/>
    <m/>
    <m/>
    <x v="0"/>
    <m/>
    <x v="3"/>
    <m/>
    <m/>
    <m/>
    <m/>
    <m/>
    <m/>
    <m/>
    <m/>
    <m/>
    <m/>
    <m/>
    <m/>
    <x v="0"/>
    <x v="0"/>
    <x v="0"/>
    <m/>
    <m/>
    <x v="2"/>
    <m/>
    <m/>
    <m/>
    <m/>
    <m/>
    <m/>
    <x v="0"/>
    <x v="2"/>
    <x v="0"/>
    <x v="2"/>
    <x v="4"/>
    <x v="2"/>
    <x v="3"/>
    <x v="2"/>
    <x v="0"/>
    <x v="1"/>
    <x v="2"/>
    <x v="3"/>
    <x v="3"/>
    <x v="1"/>
    <x v="0"/>
    <x v="0"/>
    <x v="4"/>
    <x v="1"/>
    <x v="0"/>
    <x v="1"/>
    <x v="4"/>
    <x v="0"/>
    <x v="0"/>
    <x v="0"/>
    <x v="0"/>
    <x v="0"/>
  </r>
  <r>
    <m/>
    <x v="1"/>
    <x v="1"/>
    <x v="0"/>
    <m/>
    <m/>
    <m/>
    <x v="0"/>
    <m/>
    <x v="2"/>
    <m/>
    <m/>
    <m/>
    <m/>
    <m/>
    <m/>
    <m/>
    <m/>
    <m/>
    <m/>
    <m/>
    <m/>
    <x v="0"/>
    <x v="0"/>
    <x v="0"/>
    <m/>
    <m/>
    <x v="2"/>
    <m/>
    <m/>
    <m/>
    <m/>
    <m/>
    <m/>
    <x v="1"/>
    <x v="2"/>
    <x v="2"/>
    <x v="1"/>
    <x v="4"/>
    <x v="2"/>
    <x v="0"/>
    <x v="0"/>
    <x v="0"/>
    <x v="1"/>
    <x v="0"/>
    <x v="1"/>
    <x v="2"/>
    <x v="0"/>
    <x v="1"/>
    <x v="0"/>
    <x v="1"/>
    <x v="1"/>
    <x v="1"/>
    <x v="1"/>
    <x v="3"/>
    <x v="0"/>
    <x v="0"/>
    <x v="0"/>
    <x v="0"/>
    <x v="0"/>
  </r>
  <r>
    <m/>
    <x v="1"/>
    <x v="1"/>
    <x v="1"/>
    <m/>
    <m/>
    <m/>
    <x v="3"/>
    <m/>
    <x v="4"/>
    <m/>
    <m/>
    <m/>
    <m/>
    <m/>
    <m/>
    <m/>
    <m/>
    <m/>
    <m/>
    <m/>
    <m/>
    <x v="0"/>
    <x v="0"/>
    <x v="1"/>
    <m/>
    <m/>
    <x v="0"/>
    <m/>
    <m/>
    <m/>
    <m/>
    <m/>
    <m/>
    <x v="1"/>
    <x v="3"/>
    <x v="2"/>
    <x v="0"/>
    <x v="4"/>
    <x v="3"/>
    <x v="0"/>
    <x v="2"/>
    <x v="1"/>
    <x v="1"/>
    <x v="5"/>
    <x v="0"/>
    <x v="0"/>
    <x v="1"/>
    <x v="3"/>
    <x v="2"/>
    <x v="2"/>
    <x v="3"/>
    <x v="3"/>
    <x v="0"/>
    <x v="4"/>
    <x v="0"/>
    <x v="0"/>
    <x v="0"/>
    <x v="0"/>
    <x v="0"/>
  </r>
  <r>
    <m/>
    <x v="1"/>
    <x v="1"/>
    <x v="1"/>
    <m/>
    <m/>
    <m/>
    <x v="0"/>
    <m/>
    <x v="3"/>
    <m/>
    <m/>
    <m/>
    <m/>
    <m/>
    <m/>
    <m/>
    <m/>
    <m/>
    <m/>
    <m/>
    <m/>
    <x v="0"/>
    <x v="0"/>
    <x v="0"/>
    <m/>
    <m/>
    <x v="2"/>
    <m/>
    <m/>
    <m/>
    <m/>
    <m/>
    <m/>
    <x v="0"/>
    <x v="2"/>
    <x v="0"/>
    <x v="1"/>
    <x v="1"/>
    <x v="3"/>
    <x v="3"/>
    <x v="0"/>
    <x v="0"/>
    <x v="1"/>
    <x v="2"/>
    <x v="1"/>
    <x v="0"/>
    <x v="1"/>
    <x v="4"/>
    <x v="0"/>
    <x v="3"/>
    <x v="1"/>
    <x v="1"/>
    <x v="1"/>
    <x v="3"/>
    <x v="2"/>
    <x v="0"/>
    <x v="0"/>
    <x v="0"/>
    <x v="0"/>
  </r>
  <r>
    <m/>
    <x v="1"/>
    <x v="1"/>
    <x v="1"/>
    <m/>
    <m/>
    <m/>
    <x v="2"/>
    <m/>
    <x v="3"/>
    <m/>
    <m/>
    <m/>
    <m/>
    <m/>
    <m/>
    <m/>
    <m/>
    <m/>
    <m/>
    <m/>
    <m/>
    <x v="0"/>
    <x v="6"/>
    <x v="0"/>
    <m/>
    <m/>
    <x v="2"/>
    <m/>
    <m/>
    <m/>
    <m/>
    <m/>
    <m/>
    <x v="0"/>
    <x v="2"/>
    <x v="0"/>
    <x v="2"/>
    <x v="1"/>
    <x v="3"/>
    <x v="3"/>
    <x v="2"/>
    <x v="0"/>
    <x v="1"/>
    <x v="2"/>
    <x v="2"/>
    <x v="0"/>
    <x v="4"/>
    <x v="2"/>
    <x v="0"/>
    <x v="0"/>
    <x v="2"/>
    <x v="2"/>
    <x v="1"/>
    <x v="3"/>
    <x v="5"/>
    <x v="0"/>
    <x v="0"/>
    <x v="0"/>
    <x v="0"/>
  </r>
  <r>
    <m/>
    <x v="1"/>
    <x v="1"/>
    <x v="1"/>
    <m/>
    <m/>
    <m/>
    <x v="0"/>
    <m/>
    <x v="3"/>
    <m/>
    <m/>
    <m/>
    <m/>
    <m/>
    <m/>
    <m/>
    <m/>
    <m/>
    <m/>
    <m/>
    <m/>
    <x v="0"/>
    <x v="0"/>
    <x v="0"/>
    <m/>
    <m/>
    <x v="2"/>
    <m/>
    <m/>
    <m/>
    <m/>
    <m/>
    <m/>
    <x v="0"/>
    <x v="2"/>
    <x v="5"/>
    <x v="2"/>
    <x v="1"/>
    <x v="3"/>
    <x v="3"/>
    <x v="0"/>
    <x v="0"/>
    <x v="0"/>
    <x v="2"/>
    <x v="4"/>
    <x v="5"/>
    <x v="1"/>
    <x v="0"/>
    <x v="0"/>
    <x v="1"/>
    <x v="1"/>
    <x v="2"/>
    <x v="1"/>
    <x v="4"/>
    <x v="3"/>
    <x v="0"/>
    <x v="0"/>
    <x v="0"/>
    <x v="0"/>
  </r>
  <r>
    <m/>
    <x v="1"/>
    <x v="1"/>
    <x v="1"/>
    <m/>
    <m/>
    <m/>
    <x v="0"/>
    <m/>
    <x v="3"/>
    <m/>
    <m/>
    <m/>
    <m/>
    <m/>
    <m/>
    <m/>
    <m/>
    <m/>
    <m/>
    <m/>
    <m/>
    <x v="0"/>
    <x v="0"/>
    <x v="0"/>
    <m/>
    <m/>
    <x v="0"/>
    <m/>
    <m/>
    <m/>
    <m/>
    <m/>
    <m/>
    <x v="0"/>
    <x v="5"/>
    <x v="2"/>
    <x v="1"/>
    <x v="4"/>
    <x v="2"/>
    <x v="3"/>
    <x v="2"/>
    <x v="1"/>
    <x v="4"/>
    <x v="2"/>
    <x v="0"/>
    <x v="5"/>
    <x v="1"/>
    <x v="2"/>
    <x v="0"/>
    <x v="3"/>
    <x v="2"/>
    <x v="2"/>
    <x v="3"/>
    <x v="3"/>
    <x v="3"/>
    <x v="0"/>
    <x v="0"/>
    <x v="0"/>
    <x v="0"/>
  </r>
  <r>
    <m/>
    <x v="1"/>
    <x v="1"/>
    <x v="1"/>
    <m/>
    <m/>
    <m/>
    <x v="0"/>
    <m/>
    <x v="2"/>
    <m/>
    <m/>
    <m/>
    <m/>
    <m/>
    <m/>
    <m/>
    <m/>
    <m/>
    <m/>
    <m/>
    <m/>
    <x v="0"/>
    <x v="0"/>
    <x v="0"/>
    <m/>
    <m/>
    <x v="2"/>
    <m/>
    <m/>
    <m/>
    <m/>
    <m/>
    <m/>
    <x v="0"/>
    <x v="2"/>
    <x v="2"/>
    <x v="1"/>
    <x v="1"/>
    <x v="3"/>
    <x v="0"/>
    <x v="0"/>
    <x v="0"/>
    <x v="1"/>
    <x v="0"/>
    <x v="1"/>
    <x v="0"/>
    <x v="0"/>
    <x v="2"/>
    <x v="0"/>
    <x v="0"/>
    <x v="4"/>
    <x v="2"/>
    <x v="1"/>
    <x v="3"/>
    <x v="0"/>
    <x v="0"/>
    <x v="0"/>
    <x v="0"/>
    <x v="0"/>
  </r>
  <r>
    <m/>
    <x v="1"/>
    <x v="1"/>
    <x v="2"/>
    <m/>
    <m/>
    <m/>
    <x v="3"/>
    <m/>
    <x v="2"/>
    <m/>
    <m/>
    <m/>
    <m/>
    <m/>
    <m/>
    <m/>
    <m/>
    <m/>
    <m/>
    <m/>
    <m/>
    <x v="0"/>
    <x v="0"/>
    <x v="4"/>
    <m/>
    <m/>
    <x v="0"/>
    <m/>
    <m/>
    <m/>
    <m/>
    <m/>
    <m/>
    <x v="1"/>
    <x v="2"/>
    <x v="3"/>
    <x v="2"/>
    <x v="2"/>
    <x v="2"/>
    <x v="0"/>
    <x v="0"/>
    <x v="4"/>
    <x v="4"/>
    <x v="5"/>
    <x v="2"/>
    <x v="3"/>
    <x v="2"/>
    <x v="3"/>
    <x v="2"/>
    <x v="0"/>
    <x v="2"/>
    <x v="2"/>
    <x v="3"/>
    <x v="5"/>
    <x v="0"/>
    <x v="0"/>
    <x v="0"/>
    <x v="0"/>
    <x v="0"/>
  </r>
  <r>
    <m/>
    <x v="1"/>
    <x v="1"/>
    <x v="1"/>
    <m/>
    <m/>
    <m/>
    <x v="0"/>
    <m/>
    <x v="2"/>
    <m/>
    <m/>
    <m/>
    <m/>
    <m/>
    <m/>
    <m/>
    <m/>
    <m/>
    <m/>
    <m/>
    <m/>
    <x v="0"/>
    <x v="0"/>
    <x v="1"/>
    <m/>
    <m/>
    <x v="2"/>
    <m/>
    <m/>
    <m/>
    <m/>
    <m/>
    <m/>
    <x v="1"/>
    <x v="4"/>
    <x v="0"/>
    <x v="1"/>
    <x v="1"/>
    <x v="2"/>
    <x v="0"/>
    <x v="0"/>
    <x v="0"/>
    <x v="1"/>
    <x v="2"/>
    <x v="2"/>
    <x v="2"/>
    <x v="0"/>
    <x v="0"/>
    <x v="0"/>
    <x v="3"/>
    <x v="2"/>
    <x v="2"/>
    <x v="3"/>
    <x v="3"/>
    <x v="0"/>
    <x v="0"/>
    <x v="0"/>
    <x v="0"/>
    <x v="0"/>
  </r>
  <r>
    <m/>
    <x v="1"/>
    <x v="1"/>
    <x v="0"/>
    <m/>
    <m/>
    <m/>
    <x v="0"/>
    <m/>
    <x v="0"/>
    <m/>
    <m/>
    <m/>
    <m/>
    <m/>
    <m/>
    <m/>
    <m/>
    <m/>
    <m/>
    <m/>
    <m/>
    <x v="0"/>
    <x v="0"/>
    <x v="0"/>
    <m/>
    <m/>
    <x v="2"/>
    <m/>
    <m/>
    <m/>
    <m/>
    <m/>
    <m/>
    <x v="1"/>
    <x v="3"/>
    <x v="0"/>
    <x v="0"/>
    <x v="4"/>
    <x v="2"/>
    <x v="0"/>
    <x v="0"/>
    <x v="0"/>
    <x v="1"/>
    <x v="2"/>
    <x v="5"/>
    <x v="0"/>
    <x v="1"/>
    <x v="0"/>
    <x v="0"/>
    <x v="5"/>
    <x v="2"/>
    <x v="2"/>
    <x v="5"/>
    <x v="4"/>
    <x v="3"/>
    <x v="0"/>
    <x v="0"/>
    <x v="0"/>
    <x v="0"/>
  </r>
  <r>
    <m/>
    <x v="1"/>
    <x v="1"/>
    <x v="0"/>
    <m/>
    <m/>
    <m/>
    <x v="0"/>
    <m/>
    <x v="3"/>
    <m/>
    <m/>
    <m/>
    <m/>
    <m/>
    <m/>
    <m/>
    <m/>
    <m/>
    <m/>
    <m/>
    <m/>
    <x v="0"/>
    <x v="0"/>
    <x v="0"/>
    <m/>
    <m/>
    <x v="1"/>
    <m/>
    <m/>
    <m/>
    <m/>
    <m/>
    <m/>
    <x v="0"/>
    <x v="2"/>
    <x v="0"/>
    <x v="2"/>
    <x v="4"/>
    <x v="2"/>
    <x v="3"/>
    <x v="0"/>
    <x v="2"/>
    <x v="1"/>
    <x v="0"/>
    <x v="0"/>
    <x v="5"/>
    <x v="0"/>
    <x v="0"/>
    <x v="0"/>
    <x v="1"/>
    <x v="2"/>
    <x v="1"/>
    <x v="1"/>
    <x v="3"/>
    <x v="4"/>
    <x v="0"/>
    <x v="0"/>
    <x v="0"/>
    <x v="0"/>
  </r>
  <r>
    <m/>
    <x v="1"/>
    <x v="1"/>
    <x v="0"/>
    <m/>
    <m/>
    <m/>
    <x v="0"/>
    <m/>
    <x v="3"/>
    <m/>
    <m/>
    <m/>
    <m/>
    <m/>
    <m/>
    <m/>
    <m/>
    <m/>
    <m/>
    <m/>
    <m/>
    <x v="0"/>
    <x v="0"/>
    <x v="0"/>
    <m/>
    <m/>
    <x v="2"/>
    <m/>
    <m/>
    <m/>
    <m/>
    <m/>
    <m/>
    <x v="1"/>
    <x v="4"/>
    <x v="0"/>
    <x v="2"/>
    <x v="1"/>
    <x v="2"/>
    <x v="0"/>
    <x v="2"/>
    <x v="1"/>
    <x v="3"/>
    <x v="2"/>
    <x v="1"/>
    <x v="0"/>
    <x v="0"/>
    <x v="2"/>
    <x v="0"/>
    <x v="3"/>
    <x v="2"/>
    <x v="1"/>
    <x v="1"/>
    <x v="2"/>
    <x v="3"/>
    <x v="0"/>
    <x v="0"/>
    <x v="0"/>
    <x v="0"/>
  </r>
  <r>
    <m/>
    <x v="1"/>
    <x v="1"/>
    <x v="1"/>
    <m/>
    <m/>
    <m/>
    <x v="2"/>
    <m/>
    <x v="2"/>
    <m/>
    <m/>
    <m/>
    <m/>
    <m/>
    <m/>
    <m/>
    <m/>
    <m/>
    <m/>
    <m/>
    <m/>
    <x v="0"/>
    <x v="0"/>
    <x v="0"/>
    <m/>
    <m/>
    <x v="2"/>
    <m/>
    <m/>
    <m/>
    <m/>
    <m/>
    <m/>
    <x v="1"/>
    <x v="0"/>
    <x v="2"/>
    <x v="1"/>
    <x v="1"/>
    <x v="3"/>
    <x v="0"/>
    <x v="0"/>
    <x v="0"/>
    <x v="1"/>
    <x v="2"/>
    <x v="0"/>
    <x v="0"/>
    <x v="0"/>
    <x v="2"/>
    <x v="0"/>
    <x v="1"/>
    <x v="2"/>
    <x v="2"/>
    <x v="3"/>
    <x v="3"/>
    <x v="2"/>
    <x v="0"/>
    <x v="0"/>
    <x v="0"/>
    <x v="0"/>
  </r>
  <r>
    <m/>
    <x v="1"/>
    <x v="1"/>
    <x v="1"/>
    <m/>
    <m/>
    <m/>
    <x v="2"/>
    <m/>
    <x v="0"/>
    <m/>
    <m/>
    <m/>
    <m/>
    <m/>
    <m/>
    <m/>
    <m/>
    <m/>
    <m/>
    <m/>
    <m/>
    <x v="0"/>
    <x v="0"/>
    <x v="1"/>
    <m/>
    <m/>
    <x v="0"/>
    <m/>
    <m/>
    <m/>
    <m/>
    <m/>
    <m/>
    <x v="1"/>
    <x v="4"/>
    <x v="2"/>
    <x v="2"/>
    <x v="4"/>
    <x v="3"/>
    <x v="3"/>
    <x v="2"/>
    <x v="1"/>
    <x v="0"/>
    <x v="2"/>
    <x v="3"/>
    <x v="3"/>
    <x v="1"/>
    <x v="0"/>
    <x v="2"/>
    <x v="4"/>
    <x v="2"/>
    <x v="2"/>
    <x v="3"/>
    <x v="4"/>
    <x v="3"/>
    <x v="0"/>
    <x v="0"/>
    <x v="0"/>
    <x v="0"/>
  </r>
  <r>
    <m/>
    <x v="1"/>
    <x v="1"/>
    <x v="0"/>
    <m/>
    <m/>
    <m/>
    <x v="0"/>
    <m/>
    <x v="2"/>
    <m/>
    <m/>
    <m/>
    <m/>
    <m/>
    <m/>
    <m/>
    <m/>
    <m/>
    <m/>
    <m/>
    <m/>
    <x v="0"/>
    <x v="3"/>
    <x v="0"/>
    <m/>
    <m/>
    <x v="2"/>
    <m/>
    <m/>
    <m/>
    <m/>
    <m/>
    <m/>
    <x v="0"/>
    <x v="2"/>
    <x v="0"/>
    <x v="1"/>
    <x v="1"/>
    <x v="2"/>
    <x v="1"/>
    <x v="0"/>
    <x v="0"/>
    <x v="1"/>
    <x v="0"/>
    <x v="2"/>
    <x v="1"/>
    <x v="0"/>
    <x v="1"/>
    <x v="0"/>
    <x v="3"/>
    <x v="1"/>
    <x v="1"/>
    <x v="1"/>
    <x v="5"/>
    <x v="3"/>
    <x v="0"/>
    <x v="0"/>
    <x v="0"/>
    <x v="0"/>
  </r>
  <r>
    <m/>
    <x v="1"/>
    <x v="1"/>
    <x v="0"/>
    <m/>
    <m/>
    <m/>
    <x v="0"/>
    <m/>
    <x v="2"/>
    <m/>
    <m/>
    <m/>
    <m/>
    <m/>
    <m/>
    <m/>
    <m/>
    <m/>
    <m/>
    <m/>
    <m/>
    <x v="0"/>
    <x v="0"/>
    <x v="1"/>
    <m/>
    <m/>
    <x v="0"/>
    <m/>
    <m/>
    <m/>
    <m/>
    <m/>
    <m/>
    <x v="0"/>
    <x v="2"/>
    <x v="0"/>
    <x v="2"/>
    <x v="4"/>
    <x v="4"/>
    <x v="5"/>
    <x v="0"/>
    <x v="1"/>
    <x v="1"/>
    <x v="2"/>
    <x v="1"/>
    <x v="5"/>
    <x v="1"/>
    <x v="0"/>
    <x v="0"/>
    <x v="3"/>
    <x v="2"/>
    <x v="1"/>
    <x v="1"/>
    <x v="5"/>
    <x v="3"/>
    <x v="0"/>
    <x v="0"/>
    <x v="0"/>
    <x v="0"/>
  </r>
  <r>
    <m/>
    <x v="1"/>
    <x v="1"/>
    <x v="1"/>
    <m/>
    <m/>
    <m/>
    <x v="0"/>
    <m/>
    <x v="3"/>
    <m/>
    <m/>
    <m/>
    <m/>
    <m/>
    <m/>
    <m/>
    <m/>
    <m/>
    <m/>
    <m/>
    <m/>
    <x v="0"/>
    <x v="0"/>
    <x v="0"/>
    <m/>
    <m/>
    <x v="2"/>
    <m/>
    <m/>
    <m/>
    <m/>
    <m/>
    <m/>
    <x v="0"/>
    <x v="2"/>
    <x v="0"/>
    <x v="1"/>
    <x v="1"/>
    <x v="2"/>
    <x v="0"/>
    <x v="0"/>
    <x v="0"/>
    <x v="1"/>
    <x v="0"/>
    <x v="2"/>
    <x v="2"/>
    <x v="0"/>
    <x v="1"/>
    <x v="0"/>
    <x v="3"/>
    <x v="1"/>
    <x v="1"/>
    <x v="1"/>
    <x v="2"/>
    <x v="0"/>
    <x v="0"/>
    <x v="0"/>
    <x v="0"/>
    <x v="0"/>
  </r>
  <r>
    <m/>
    <x v="1"/>
    <x v="0"/>
    <x v="0"/>
    <m/>
    <m/>
    <m/>
    <x v="0"/>
    <m/>
    <x v="2"/>
    <m/>
    <m/>
    <m/>
    <m/>
    <m/>
    <m/>
    <m/>
    <m/>
    <m/>
    <m/>
    <m/>
    <m/>
    <x v="0"/>
    <x v="3"/>
    <x v="0"/>
    <m/>
    <m/>
    <x v="2"/>
    <m/>
    <m/>
    <m/>
    <m/>
    <m/>
    <m/>
    <x v="0"/>
    <x v="2"/>
    <x v="0"/>
    <x v="1"/>
    <x v="1"/>
    <x v="2"/>
    <x v="0"/>
    <x v="0"/>
    <x v="0"/>
    <x v="1"/>
    <x v="0"/>
    <x v="2"/>
    <x v="2"/>
    <x v="0"/>
    <x v="2"/>
    <x v="0"/>
    <x v="1"/>
    <x v="1"/>
    <x v="1"/>
    <x v="1"/>
    <x v="3"/>
    <x v="0"/>
    <x v="0"/>
    <x v="0"/>
    <x v="0"/>
    <x v="0"/>
  </r>
  <r>
    <m/>
    <x v="1"/>
    <x v="0"/>
    <x v="1"/>
    <m/>
    <m/>
    <m/>
    <x v="0"/>
    <m/>
    <x v="2"/>
    <m/>
    <m/>
    <m/>
    <m/>
    <m/>
    <m/>
    <m/>
    <m/>
    <m/>
    <m/>
    <m/>
    <m/>
    <x v="0"/>
    <x v="0"/>
    <x v="0"/>
    <m/>
    <m/>
    <x v="2"/>
    <m/>
    <m/>
    <m/>
    <m/>
    <m/>
    <m/>
    <x v="0"/>
    <x v="2"/>
    <x v="2"/>
    <x v="1"/>
    <x v="1"/>
    <x v="2"/>
    <x v="0"/>
    <x v="0"/>
    <x v="1"/>
    <x v="1"/>
    <x v="2"/>
    <x v="2"/>
    <x v="0"/>
    <x v="0"/>
    <x v="1"/>
    <x v="0"/>
    <x v="1"/>
    <x v="1"/>
    <x v="1"/>
    <x v="1"/>
    <x v="4"/>
    <x v="3"/>
    <x v="0"/>
    <x v="0"/>
    <x v="0"/>
    <x v="0"/>
  </r>
  <r>
    <m/>
    <x v="1"/>
    <x v="0"/>
    <x v="0"/>
    <m/>
    <m/>
    <m/>
    <x v="0"/>
    <m/>
    <x v="2"/>
    <m/>
    <m/>
    <m/>
    <m/>
    <m/>
    <m/>
    <m/>
    <m/>
    <m/>
    <m/>
    <m/>
    <m/>
    <x v="0"/>
    <x v="0"/>
    <x v="1"/>
    <m/>
    <m/>
    <x v="2"/>
    <m/>
    <m/>
    <m/>
    <m/>
    <m/>
    <m/>
    <x v="1"/>
    <x v="4"/>
    <x v="0"/>
    <x v="1"/>
    <x v="1"/>
    <x v="2"/>
    <x v="0"/>
    <x v="0"/>
    <x v="0"/>
    <x v="1"/>
    <x v="0"/>
    <x v="1"/>
    <x v="4"/>
    <x v="0"/>
    <x v="1"/>
    <x v="0"/>
    <x v="3"/>
    <x v="2"/>
    <x v="1"/>
    <x v="1"/>
    <x v="3"/>
    <x v="2"/>
    <x v="0"/>
    <x v="0"/>
    <x v="0"/>
    <x v="0"/>
  </r>
  <r>
    <m/>
    <x v="1"/>
    <x v="0"/>
    <x v="0"/>
    <m/>
    <m/>
    <m/>
    <x v="0"/>
    <m/>
    <x v="2"/>
    <m/>
    <m/>
    <m/>
    <m/>
    <m/>
    <m/>
    <m/>
    <m/>
    <m/>
    <m/>
    <m/>
    <m/>
    <x v="0"/>
    <x v="0"/>
    <x v="0"/>
    <m/>
    <m/>
    <x v="2"/>
    <m/>
    <m/>
    <m/>
    <m/>
    <m/>
    <m/>
    <x v="0"/>
    <x v="2"/>
    <x v="2"/>
    <x v="1"/>
    <x v="1"/>
    <x v="2"/>
    <x v="0"/>
    <x v="0"/>
    <x v="0"/>
    <x v="1"/>
    <x v="0"/>
    <x v="2"/>
    <x v="0"/>
    <x v="0"/>
    <x v="1"/>
    <x v="0"/>
    <x v="3"/>
    <x v="1"/>
    <x v="1"/>
    <x v="1"/>
    <x v="3"/>
    <x v="0"/>
    <x v="0"/>
    <x v="0"/>
    <x v="0"/>
    <x v="0"/>
  </r>
  <r>
    <m/>
    <x v="1"/>
    <x v="0"/>
    <x v="0"/>
    <m/>
    <m/>
    <m/>
    <x v="0"/>
    <m/>
    <x v="2"/>
    <m/>
    <m/>
    <m/>
    <m/>
    <m/>
    <m/>
    <m/>
    <m/>
    <m/>
    <m/>
    <m/>
    <m/>
    <x v="0"/>
    <x v="0"/>
    <x v="0"/>
    <m/>
    <m/>
    <x v="2"/>
    <m/>
    <m/>
    <m/>
    <m/>
    <m/>
    <m/>
    <x v="0"/>
    <x v="2"/>
    <x v="0"/>
    <x v="1"/>
    <x v="1"/>
    <x v="2"/>
    <x v="0"/>
    <x v="0"/>
    <x v="0"/>
    <x v="1"/>
    <x v="0"/>
    <x v="1"/>
    <x v="2"/>
    <x v="0"/>
    <x v="1"/>
    <x v="0"/>
    <x v="3"/>
    <x v="1"/>
    <x v="1"/>
    <x v="1"/>
    <x v="3"/>
    <x v="0"/>
    <x v="0"/>
    <x v="0"/>
    <x v="0"/>
    <x v="0"/>
  </r>
  <r>
    <m/>
    <x v="1"/>
    <x v="0"/>
    <x v="1"/>
    <m/>
    <m/>
    <m/>
    <x v="2"/>
    <m/>
    <x v="0"/>
    <m/>
    <m/>
    <m/>
    <m/>
    <m/>
    <m/>
    <m/>
    <m/>
    <m/>
    <m/>
    <m/>
    <m/>
    <x v="0"/>
    <x v="0"/>
    <x v="5"/>
    <m/>
    <m/>
    <x v="2"/>
    <m/>
    <m/>
    <m/>
    <m/>
    <m/>
    <m/>
    <x v="3"/>
    <x v="3"/>
    <x v="0"/>
    <x v="2"/>
    <x v="1"/>
    <x v="3"/>
    <x v="3"/>
    <x v="0"/>
    <x v="0"/>
    <x v="1"/>
    <x v="0"/>
    <x v="2"/>
    <x v="2"/>
    <x v="0"/>
    <x v="1"/>
    <x v="0"/>
    <x v="3"/>
    <x v="1"/>
    <x v="2"/>
    <x v="2"/>
    <x v="3"/>
    <x v="0"/>
    <x v="0"/>
    <x v="0"/>
    <x v="0"/>
    <x v="0"/>
  </r>
  <r>
    <m/>
    <x v="1"/>
    <x v="0"/>
    <x v="0"/>
    <m/>
    <m/>
    <m/>
    <x v="0"/>
    <m/>
    <x v="2"/>
    <m/>
    <m/>
    <m/>
    <m/>
    <m/>
    <m/>
    <m/>
    <m/>
    <m/>
    <m/>
    <m/>
    <m/>
    <x v="0"/>
    <x v="0"/>
    <x v="0"/>
    <m/>
    <m/>
    <x v="2"/>
    <m/>
    <m/>
    <m/>
    <m/>
    <m/>
    <m/>
    <x v="0"/>
    <x v="2"/>
    <x v="0"/>
    <x v="1"/>
    <x v="1"/>
    <x v="2"/>
    <x v="0"/>
    <x v="0"/>
    <x v="0"/>
    <x v="1"/>
    <x v="0"/>
    <x v="1"/>
    <x v="2"/>
    <x v="0"/>
    <x v="1"/>
    <x v="0"/>
    <x v="1"/>
    <x v="1"/>
    <x v="2"/>
    <x v="1"/>
    <x v="2"/>
    <x v="3"/>
    <x v="0"/>
    <x v="0"/>
    <x v="0"/>
    <x v="0"/>
  </r>
  <r>
    <m/>
    <x v="1"/>
    <x v="0"/>
    <x v="1"/>
    <m/>
    <m/>
    <m/>
    <x v="2"/>
    <m/>
    <x v="5"/>
    <m/>
    <m/>
    <m/>
    <m/>
    <m/>
    <m/>
    <m/>
    <m/>
    <m/>
    <m/>
    <m/>
    <m/>
    <x v="0"/>
    <x v="0"/>
    <x v="1"/>
    <m/>
    <m/>
    <x v="2"/>
    <m/>
    <m/>
    <m/>
    <m/>
    <m/>
    <m/>
    <x v="0"/>
    <x v="4"/>
    <x v="0"/>
    <x v="1"/>
    <x v="1"/>
    <x v="2"/>
    <x v="3"/>
    <x v="2"/>
    <x v="0"/>
    <x v="3"/>
    <x v="0"/>
    <x v="1"/>
    <x v="0"/>
    <x v="0"/>
    <x v="0"/>
    <x v="0"/>
    <x v="3"/>
    <x v="1"/>
    <x v="1"/>
    <x v="1"/>
    <x v="4"/>
    <x v="2"/>
    <x v="0"/>
    <x v="0"/>
    <x v="0"/>
    <x v="0"/>
  </r>
  <r>
    <m/>
    <x v="1"/>
    <x v="0"/>
    <x v="0"/>
    <m/>
    <m/>
    <m/>
    <x v="0"/>
    <m/>
    <x v="2"/>
    <m/>
    <m/>
    <m/>
    <m/>
    <m/>
    <m/>
    <m/>
    <m/>
    <m/>
    <m/>
    <m/>
    <m/>
    <x v="0"/>
    <x v="0"/>
    <x v="0"/>
    <m/>
    <m/>
    <x v="2"/>
    <m/>
    <m/>
    <m/>
    <m/>
    <m/>
    <m/>
    <x v="0"/>
    <x v="2"/>
    <x v="2"/>
    <x v="1"/>
    <x v="1"/>
    <x v="2"/>
    <x v="0"/>
    <x v="0"/>
    <x v="0"/>
    <x v="3"/>
    <x v="0"/>
    <x v="2"/>
    <x v="2"/>
    <x v="0"/>
    <x v="1"/>
    <x v="0"/>
    <x v="1"/>
    <x v="1"/>
    <x v="2"/>
    <x v="3"/>
    <x v="3"/>
    <x v="0"/>
    <x v="0"/>
    <x v="0"/>
    <x v="0"/>
    <x v="0"/>
  </r>
  <r>
    <m/>
    <x v="1"/>
    <x v="0"/>
    <x v="1"/>
    <m/>
    <m/>
    <m/>
    <x v="0"/>
    <m/>
    <x v="2"/>
    <m/>
    <m/>
    <m/>
    <m/>
    <m/>
    <m/>
    <m/>
    <m/>
    <m/>
    <m/>
    <m/>
    <m/>
    <x v="0"/>
    <x v="0"/>
    <x v="0"/>
    <m/>
    <m/>
    <x v="2"/>
    <m/>
    <m/>
    <m/>
    <m/>
    <m/>
    <m/>
    <x v="0"/>
    <x v="2"/>
    <x v="2"/>
    <x v="1"/>
    <x v="1"/>
    <x v="2"/>
    <x v="0"/>
    <x v="0"/>
    <x v="0"/>
    <x v="1"/>
    <x v="0"/>
    <x v="2"/>
    <x v="2"/>
    <x v="0"/>
    <x v="1"/>
    <x v="0"/>
    <x v="1"/>
    <x v="1"/>
    <x v="1"/>
    <x v="1"/>
    <x v="4"/>
    <x v="0"/>
    <x v="0"/>
    <x v="0"/>
    <x v="0"/>
    <x v="0"/>
  </r>
  <r>
    <m/>
    <x v="1"/>
    <x v="0"/>
    <x v="1"/>
    <m/>
    <m/>
    <m/>
    <x v="0"/>
    <m/>
    <x v="2"/>
    <m/>
    <m/>
    <m/>
    <m/>
    <m/>
    <m/>
    <m/>
    <m/>
    <m/>
    <m/>
    <m/>
    <m/>
    <x v="0"/>
    <x v="0"/>
    <x v="0"/>
    <m/>
    <m/>
    <x v="0"/>
    <m/>
    <m/>
    <m/>
    <m/>
    <m/>
    <m/>
    <x v="0"/>
    <x v="2"/>
    <x v="0"/>
    <x v="1"/>
    <x v="1"/>
    <x v="2"/>
    <x v="0"/>
    <x v="0"/>
    <x v="0"/>
    <x v="1"/>
    <x v="0"/>
    <x v="1"/>
    <x v="2"/>
    <x v="0"/>
    <x v="1"/>
    <x v="0"/>
    <x v="3"/>
    <x v="2"/>
    <x v="2"/>
    <x v="1"/>
    <x v="2"/>
    <x v="3"/>
    <x v="0"/>
    <x v="0"/>
    <x v="0"/>
    <x v="0"/>
  </r>
  <r>
    <m/>
    <x v="1"/>
    <x v="0"/>
    <x v="1"/>
    <m/>
    <m/>
    <m/>
    <x v="0"/>
    <m/>
    <x v="2"/>
    <m/>
    <m/>
    <m/>
    <m/>
    <m/>
    <m/>
    <m/>
    <m/>
    <m/>
    <m/>
    <m/>
    <m/>
    <x v="0"/>
    <x v="0"/>
    <x v="0"/>
    <m/>
    <m/>
    <x v="2"/>
    <m/>
    <m/>
    <m/>
    <m/>
    <m/>
    <m/>
    <x v="0"/>
    <x v="2"/>
    <x v="0"/>
    <x v="1"/>
    <x v="1"/>
    <x v="2"/>
    <x v="0"/>
    <x v="0"/>
    <x v="0"/>
    <x v="1"/>
    <x v="0"/>
    <x v="1"/>
    <x v="2"/>
    <x v="0"/>
    <x v="1"/>
    <x v="0"/>
    <x v="1"/>
    <x v="1"/>
    <x v="2"/>
    <x v="1"/>
    <x v="2"/>
    <x v="3"/>
    <x v="0"/>
    <x v="0"/>
    <x v="0"/>
    <x v="0"/>
  </r>
  <r>
    <m/>
    <x v="1"/>
    <x v="0"/>
    <x v="1"/>
    <m/>
    <m/>
    <m/>
    <x v="0"/>
    <m/>
    <x v="0"/>
    <m/>
    <m/>
    <m/>
    <m/>
    <m/>
    <m/>
    <m/>
    <m/>
    <m/>
    <m/>
    <m/>
    <m/>
    <x v="5"/>
    <x v="0"/>
    <x v="0"/>
    <m/>
    <m/>
    <x v="3"/>
    <m/>
    <m/>
    <m/>
    <m/>
    <m/>
    <m/>
    <x v="0"/>
    <x v="2"/>
    <x v="0"/>
    <x v="0"/>
    <x v="0"/>
    <x v="2"/>
    <x v="0"/>
    <x v="0"/>
    <x v="4"/>
    <x v="1"/>
    <x v="0"/>
    <x v="3"/>
    <x v="3"/>
    <x v="3"/>
    <x v="5"/>
    <x v="3"/>
    <x v="1"/>
    <x v="1"/>
    <x v="1"/>
    <x v="2"/>
    <x v="2"/>
    <x v="3"/>
    <x v="0"/>
    <x v="0"/>
    <x v="0"/>
    <x v="0"/>
  </r>
  <r>
    <m/>
    <x v="1"/>
    <x v="0"/>
    <x v="0"/>
    <m/>
    <m/>
    <m/>
    <x v="0"/>
    <m/>
    <x v="0"/>
    <m/>
    <m/>
    <m/>
    <m/>
    <m/>
    <m/>
    <m/>
    <m/>
    <m/>
    <m/>
    <m/>
    <m/>
    <x v="2"/>
    <x v="0"/>
    <x v="5"/>
    <m/>
    <m/>
    <x v="2"/>
    <m/>
    <m/>
    <m/>
    <m/>
    <m/>
    <m/>
    <x v="0"/>
    <x v="0"/>
    <x v="4"/>
    <x v="0"/>
    <x v="1"/>
    <x v="2"/>
    <x v="0"/>
    <x v="0"/>
    <x v="4"/>
    <x v="0"/>
    <x v="0"/>
    <x v="2"/>
    <x v="3"/>
    <x v="0"/>
    <x v="1"/>
    <x v="3"/>
    <x v="1"/>
    <x v="1"/>
    <x v="0"/>
    <x v="2"/>
    <x v="2"/>
    <x v="2"/>
    <x v="0"/>
    <x v="0"/>
    <x v="0"/>
    <x v="0"/>
  </r>
  <r>
    <m/>
    <x v="1"/>
    <x v="0"/>
    <x v="1"/>
    <m/>
    <m/>
    <m/>
    <x v="0"/>
    <m/>
    <x v="2"/>
    <m/>
    <m/>
    <m/>
    <m/>
    <m/>
    <m/>
    <m/>
    <m/>
    <m/>
    <m/>
    <m/>
    <m/>
    <x v="0"/>
    <x v="0"/>
    <x v="0"/>
    <m/>
    <m/>
    <x v="2"/>
    <m/>
    <m/>
    <m/>
    <m/>
    <m/>
    <m/>
    <x v="0"/>
    <x v="2"/>
    <x v="0"/>
    <x v="1"/>
    <x v="1"/>
    <x v="2"/>
    <x v="0"/>
    <x v="0"/>
    <x v="0"/>
    <x v="1"/>
    <x v="0"/>
    <x v="1"/>
    <x v="2"/>
    <x v="0"/>
    <x v="1"/>
    <x v="0"/>
    <x v="1"/>
    <x v="1"/>
    <x v="2"/>
    <x v="1"/>
    <x v="3"/>
    <x v="0"/>
    <x v="0"/>
    <x v="0"/>
    <x v="0"/>
    <x v="0"/>
  </r>
  <r>
    <m/>
    <x v="1"/>
    <x v="0"/>
    <x v="1"/>
    <m/>
    <m/>
    <m/>
    <x v="0"/>
    <m/>
    <x v="2"/>
    <m/>
    <m/>
    <m/>
    <m/>
    <m/>
    <m/>
    <m/>
    <m/>
    <m/>
    <m/>
    <m/>
    <m/>
    <x v="2"/>
    <x v="3"/>
    <x v="1"/>
    <m/>
    <m/>
    <x v="0"/>
    <m/>
    <m/>
    <m/>
    <m/>
    <m/>
    <m/>
    <x v="0"/>
    <x v="2"/>
    <x v="0"/>
    <x v="1"/>
    <x v="1"/>
    <x v="2"/>
    <x v="0"/>
    <x v="0"/>
    <x v="0"/>
    <x v="1"/>
    <x v="0"/>
    <x v="2"/>
    <x v="2"/>
    <x v="0"/>
    <x v="1"/>
    <x v="0"/>
    <x v="1"/>
    <x v="1"/>
    <x v="1"/>
    <x v="1"/>
    <x v="2"/>
    <x v="0"/>
    <x v="0"/>
    <x v="0"/>
    <x v="0"/>
    <x v="0"/>
  </r>
  <r>
    <m/>
    <x v="1"/>
    <x v="0"/>
    <x v="1"/>
    <m/>
    <m/>
    <m/>
    <x v="0"/>
    <m/>
    <x v="3"/>
    <m/>
    <m/>
    <m/>
    <m/>
    <m/>
    <m/>
    <m/>
    <m/>
    <m/>
    <m/>
    <m/>
    <m/>
    <x v="0"/>
    <x v="0"/>
    <x v="0"/>
    <m/>
    <m/>
    <x v="2"/>
    <m/>
    <m/>
    <m/>
    <m/>
    <m/>
    <m/>
    <x v="0"/>
    <x v="2"/>
    <x v="2"/>
    <x v="2"/>
    <x v="4"/>
    <x v="2"/>
    <x v="3"/>
    <x v="2"/>
    <x v="2"/>
    <x v="1"/>
    <x v="2"/>
    <x v="4"/>
    <x v="2"/>
    <x v="0"/>
    <x v="2"/>
    <x v="0"/>
    <x v="3"/>
    <x v="2"/>
    <x v="2"/>
    <x v="3"/>
    <x v="3"/>
    <x v="0"/>
    <x v="0"/>
    <x v="0"/>
    <x v="0"/>
    <x v="0"/>
  </r>
  <r>
    <m/>
    <x v="1"/>
    <x v="0"/>
    <x v="1"/>
    <m/>
    <m/>
    <m/>
    <x v="0"/>
    <m/>
    <x v="2"/>
    <m/>
    <m/>
    <m/>
    <m/>
    <m/>
    <m/>
    <m/>
    <m/>
    <m/>
    <m/>
    <m/>
    <m/>
    <x v="4"/>
    <x v="0"/>
    <x v="0"/>
    <m/>
    <m/>
    <x v="2"/>
    <m/>
    <m/>
    <m/>
    <m/>
    <m/>
    <m/>
    <x v="0"/>
    <x v="2"/>
    <x v="0"/>
    <x v="1"/>
    <x v="1"/>
    <x v="2"/>
    <x v="0"/>
    <x v="2"/>
    <x v="0"/>
    <x v="1"/>
    <x v="0"/>
    <x v="2"/>
    <x v="2"/>
    <x v="0"/>
    <x v="1"/>
    <x v="0"/>
    <x v="1"/>
    <x v="1"/>
    <x v="1"/>
    <x v="1"/>
    <x v="1"/>
    <x v="4"/>
    <x v="0"/>
    <x v="0"/>
    <x v="0"/>
    <x v="0"/>
  </r>
  <r>
    <m/>
    <x v="1"/>
    <x v="0"/>
    <x v="1"/>
    <m/>
    <m/>
    <m/>
    <x v="0"/>
    <m/>
    <x v="3"/>
    <m/>
    <m/>
    <m/>
    <m/>
    <m/>
    <m/>
    <m/>
    <m/>
    <m/>
    <m/>
    <m/>
    <m/>
    <x v="2"/>
    <x v="0"/>
    <x v="4"/>
    <m/>
    <m/>
    <x v="2"/>
    <m/>
    <m/>
    <m/>
    <m/>
    <m/>
    <m/>
    <x v="2"/>
    <x v="2"/>
    <x v="0"/>
    <x v="2"/>
    <x v="0"/>
    <x v="2"/>
    <x v="0"/>
    <x v="0"/>
    <x v="2"/>
    <x v="1"/>
    <x v="5"/>
    <x v="2"/>
    <x v="0"/>
    <x v="0"/>
    <x v="1"/>
    <x v="0"/>
    <x v="1"/>
    <x v="3"/>
    <x v="3"/>
    <x v="1"/>
    <x v="1"/>
    <x v="0"/>
    <x v="0"/>
    <x v="0"/>
    <x v="0"/>
    <x v="0"/>
  </r>
  <r>
    <m/>
    <x v="1"/>
    <x v="0"/>
    <x v="1"/>
    <m/>
    <m/>
    <m/>
    <x v="0"/>
    <m/>
    <x v="2"/>
    <m/>
    <m/>
    <m/>
    <m/>
    <m/>
    <m/>
    <m/>
    <m/>
    <m/>
    <m/>
    <m/>
    <m/>
    <x v="2"/>
    <x v="0"/>
    <x v="0"/>
    <m/>
    <m/>
    <x v="2"/>
    <m/>
    <m/>
    <m/>
    <m/>
    <m/>
    <m/>
    <x v="0"/>
    <x v="2"/>
    <x v="0"/>
    <x v="1"/>
    <x v="1"/>
    <x v="2"/>
    <x v="0"/>
    <x v="2"/>
    <x v="2"/>
    <x v="1"/>
    <x v="0"/>
    <x v="2"/>
    <x v="2"/>
    <x v="0"/>
    <x v="1"/>
    <x v="0"/>
    <x v="1"/>
    <x v="1"/>
    <x v="1"/>
    <x v="1"/>
    <x v="1"/>
    <x v="4"/>
    <x v="0"/>
    <x v="0"/>
    <x v="0"/>
    <x v="0"/>
  </r>
  <r>
    <m/>
    <x v="1"/>
    <x v="0"/>
    <x v="1"/>
    <m/>
    <m/>
    <m/>
    <x v="0"/>
    <m/>
    <x v="2"/>
    <m/>
    <m/>
    <m/>
    <m/>
    <m/>
    <m/>
    <m/>
    <m/>
    <m/>
    <m/>
    <m/>
    <m/>
    <x v="0"/>
    <x v="2"/>
    <x v="4"/>
    <m/>
    <m/>
    <x v="2"/>
    <m/>
    <m/>
    <m/>
    <m/>
    <m/>
    <m/>
    <x v="0"/>
    <x v="0"/>
    <x v="5"/>
    <x v="1"/>
    <x v="0"/>
    <x v="1"/>
    <x v="0"/>
    <x v="4"/>
    <x v="2"/>
    <x v="3"/>
    <x v="3"/>
    <x v="1"/>
    <x v="2"/>
    <x v="0"/>
    <x v="1"/>
    <x v="0"/>
    <x v="1"/>
    <x v="1"/>
    <x v="1"/>
    <x v="2"/>
    <x v="2"/>
    <x v="2"/>
    <x v="0"/>
    <x v="0"/>
    <x v="0"/>
    <x v="0"/>
  </r>
  <r>
    <m/>
    <x v="1"/>
    <x v="0"/>
    <x v="0"/>
    <m/>
    <m/>
    <m/>
    <x v="0"/>
    <m/>
    <x v="3"/>
    <m/>
    <m/>
    <m/>
    <m/>
    <m/>
    <m/>
    <m/>
    <m/>
    <m/>
    <m/>
    <m/>
    <m/>
    <x v="0"/>
    <x v="0"/>
    <x v="1"/>
    <m/>
    <m/>
    <x v="2"/>
    <m/>
    <m/>
    <m/>
    <m/>
    <m/>
    <m/>
    <x v="1"/>
    <x v="4"/>
    <x v="0"/>
    <x v="1"/>
    <x v="4"/>
    <x v="2"/>
    <x v="3"/>
    <x v="0"/>
    <x v="0"/>
    <x v="1"/>
    <x v="2"/>
    <x v="1"/>
    <x v="2"/>
    <x v="0"/>
    <x v="0"/>
    <x v="0"/>
    <x v="1"/>
    <x v="1"/>
    <x v="1"/>
    <x v="1"/>
    <x v="3"/>
    <x v="0"/>
    <x v="0"/>
    <x v="0"/>
    <x v="0"/>
    <x v="0"/>
  </r>
  <r>
    <m/>
    <x v="1"/>
    <x v="0"/>
    <x v="0"/>
    <m/>
    <m/>
    <m/>
    <x v="0"/>
    <m/>
    <x v="2"/>
    <m/>
    <m/>
    <m/>
    <m/>
    <m/>
    <m/>
    <m/>
    <m/>
    <m/>
    <m/>
    <m/>
    <m/>
    <x v="0"/>
    <x v="0"/>
    <x v="0"/>
    <m/>
    <m/>
    <x v="2"/>
    <m/>
    <m/>
    <m/>
    <m/>
    <m/>
    <m/>
    <x v="0"/>
    <x v="2"/>
    <x v="0"/>
    <x v="1"/>
    <x v="1"/>
    <x v="2"/>
    <x v="0"/>
    <x v="0"/>
    <x v="0"/>
    <x v="1"/>
    <x v="0"/>
    <x v="1"/>
    <x v="2"/>
    <x v="0"/>
    <x v="0"/>
    <x v="0"/>
    <x v="3"/>
    <x v="2"/>
    <x v="1"/>
    <x v="1"/>
    <x v="3"/>
    <x v="3"/>
    <x v="0"/>
    <x v="0"/>
    <x v="0"/>
    <x v="0"/>
  </r>
  <r>
    <m/>
    <x v="1"/>
    <x v="0"/>
    <x v="0"/>
    <m/>
    <m/>
    <m/>
    <x v="0"/>
    <m/>
    <x v="2"/>
    <m/>
    <m/>
    <m/>
    <m/>
    <m/>
    <m/>
    <m/>
    <m/>
    <m/>
    <m/>
    <m/>
    <m/>
    <x v="0"/>
    <x v="0"/>
    <x v="1"/>
    <m/>
    <m/>
    <x v="2"/>
    <m/>
    <m/>
    <m/>
    <m/>
    <m/>
    <m/>
    <x v="0"/>
    <x v="2"/>
    <x v="0"/>
    <x v="1"/>
    <x v="1"/>
    <x v="2"/>
    <x v="3"/>
    <x v="0"/>
    <x v="0"/>
    <x v="1"/>
    <x v="2"/>
    <x v="1"/>
    <x v="2"/>
    <x v="0"/>
    <x v="0"/>
    <x v="0"/>
    <x v="0"/>
    <x v="2"/>
    <x v="3"/>
    <x v="3"/>
    <x v="3"/>
    <x v="0"/>
    <x v="0"/>
    <x v="0"/>
    <x v="0"/>
    <x v="0"/>
  </r>
  <r>
    <m/>
    <x v="1"/>
    <x v="0"/>
    <x v="0"/>
    <m/>
    <m/>
    <m/>
    <x v="2"/>
    <m/>
    <x v="3"/>
    <m/>
    <m/>
    <m/>
    <m/>
    <m/>
    <m/>
    <m/>
    <m/>
    <m/>
    <m/>
    <m/>
    <m/>
    <x v="0"/>
    <x v="0"/>
    <x v="2"/>
    <m/>
    <m/>
    <x v="2"/>
    <m/>
    <m/>
    <m/>
    <m/>
    <m/>
    <m/>
    <x v="0"/>
    <x v="4"/>
    <x v="2"/>
    <x v="2"/>
    <x v="1"/>
    <x v="2"/>
    <x v="3"/>
    <x v="0"/>
    <x v="1"/>
    <x v="3"/>
    <x v="0"/>
    <x v="1"/>
    <x v="3"/>
    <x v="0"/>
    <x v="2"/>
    <x v="0"/>
    <x v="3"/>
    <x v="1"/>
    <x v="1"/>
    <x v="1"/>
    <x v="5"/>
    <x v="0"/>
    <x v="0"/>
    <x v="0"/>
    <x v="0"/>
    <x v="0"/>
  </r>
  <r>
    <m/>
    <x v="1"/>
    <x v="0"/>
    <x v="1"/>
    <m/>
    <m/>
    <m/>
    <x v="4"/>
    <m/>
    <x v="5"/>
    <m/>
    <m/>
    <m/>
    <m/>
    <m/>
    <m/>
    <m/>
    <m/>
    <m/>
    <m/>
    <m/>
    <m/>
    <x v="0"/>
    <x v="0"/>
    <x v="5"/>
    <m/>
    <m/>
    <x v="3"/>
    <m/>
    <m/>
    <m/>
    <m/>
    <m/>
    <m/>
    <x v="3"/>
    <x v="3"/>
    <x v="4"/>
    <x v="4"/>
    <x v="0"/>
    <x v="0"/>
    <x v="4"/>
    <x v="5"/>
    <x v="3"/>
    <x v="0"/>
    <x v="4"/>
    <x v="3"/>
    <x v="3"/>
    <x v="3"/>
    <x v="5"/>
    <x v="3"/>
    <x v="4"/>
    <x v="0"/>
    <x v="0"/>
    <x v="2"/>
    <x v="0"/>
    <x v="2"/>
    <x v="0"/>
    <x v="0"/>
    <x v="0"/>
    <x v="0"/>
  </r>
  <r>
    <m/>
    <x v="1"/>
    <x v="0"/>
    <x v="1"/>
    <m/>
    <m/>
    <m/>
    <x v="3"/>
    <m/>
    <x v="5"/>
    <m/>
    <m/>
    <m/>
    <m/>
    <m/>
    <m/>
    <m/>
    <m/>
    <m/>
    <m/>
    <m/>
    <m/>
    <x v="0"/>
    <x v="0"/>
    <x v="2"/>
    <m/>
    <m/>
    <x v="2"/>
    <m/>
    <m/>
    <m/>
    <m/>
    <m/>
    <m/>
    <x v="3"/>
    <x v="3"/>
    <x v="4"/>
    <x v="4"/>
    <x v="5"/>
    <x v="3"/>
    <x v="3"/>
    <x v="0"/>
    <x v="0"/>
    <x v="1"/>
    <x v="3"/>
    <x v="4"/>
    <x v="4"/>
    <x v="0"/>
    <x v="3"/>
    <x v="0"/>
    <x v="1"/>
    <x v="3"/>
    <x v="2"/>
    <x v="1"/>
    <x v="5"/>
    <x v="4"/>
    <x v="0"/>
    <x v="0"/>
    <x v="0"/>
    <x v="0"/>
  </r>
  <r>
    <m/>
    <x v="1"/>
    <x v="0"/>
    <x v="0"/>
    <m/>
    <m/>
    <m/>
    <x v="2"/>
    <m/>
    <x v="0"/>
    <m/>
    <m/>
    <m/>
    <m/>
    <m/>
    <m/>
    <m/>
    <m/>
    <m/>
    <m/>
    <m/>
    <m/>
    <x v="0"/>
    <x v="0"/>
    <x v="1"/>
    <m/>
    <m/>
    <x v="2"/>
    <m/>
    <m/>
    <m/>
    <m/>
    <m/>
    <m/>
    <x v="1"/>
    <x v="0"/>
    <x v="2"/>
    <x v="2"/>
    <x v="3"/>
    <x v="0"/>
    <x v="4"/>
    <x v="2"/>
    <x v="1"/>
    <x v="0"/>
    <x v="2"/>
    <x v="3"/>
    <x v="5"/>
    <x v="1"/>
    <x v="2"/>
    <x v="2"/>
    <x v="3"/>
    <x v="0"/>
    <x v="0"/>
    <x v="1"/>
    <x v="0"/>
    <x v="3"/>
    <x v="0"/>
    <x v="0"/>
    <x v="0"/>
    <x v="0"/>
  </r>
  <r>
    <m/>
    <x v="1"/>
    <x v="0"/>
    <x v="0"/>
    <m/>
    <m/>
    <m/>
    <x v="0"/>
    <m/>
    <x v="3"/>
    <m/>
    <m/>
    <m/>
    <m/>
    <m/>
    <m/>
    <m/>
    <m/>
    <m/>
    <m/>
    <m/>
    <m/>
    <x v="0"/>
    <x v="0"/>
    <x v="0"/>
    <m/>
    <m/>
    <x v="2"/>
    <m/>
    <m/>
    <m/>
    <m/>
    <m/>
    <m/>
    <x v="0"/>
    <x v="2"/>
    <x v="0"/>
    <x v="2"/>
    <x v="1"/>
    <x v="2"/>
    <x v="0"/>
    <x v="0"/>
    <x v="0"/>
    <x v="1"/>
    <x v="2"/>
    <x v="2"/>
    <x v="2"/>
    <x v="0"/>
    <x v="2"/>
    <x v="0"/>
    <x v="3"/>
    <x v="2"/>
    <x v="1"/>
    <x v="1"/>
    <x v="3"/>
    <x v="2"/>
    <x v="0"/>
    <x v="0"/>
    <x v="0"/>
    <x v="0"/>
  </r>
  <r>
    <m/>
    <x v="1"/>
    <x v="0"/>
    <x v="0"/>
    <m/>
    <m/>
    <m/>
    <x v="2"/>
    <m/>
    <x v="3"/>
    <m/>
    <m/>
    <m/>
    <m/>
    <m/>
    <m/>
    <m/>
    <m/>
    <m/>
    <m/>
    <m/>
    <m/>
    <x v="0"/>
    <x v="0"/>
    <x v="0"/>
    <m/>
    <m/>
    <x v="2"/>
    <m/>
    <m/>
    <m/>
    <m/>
    <m/>
    <m/>
    <x v="0"/>
    <x v="4"/>
    <x v="2"/>
    <x v="2"/>
    <x v="0"/>
    <x v="3"/>
    <x v="3"/>
    <x v="2"/>
    <x v="1"/>
    <x v="1"/>
    <x v="2"/>
    <x v="3"/>
    <x v="2"/>
    <x v="0"/>
    <x v="1"/>
    <x v="0"/>
    <x v="3"/>
    <x v="1"/>
    <x v="1"/>
    <x v="1"/>
    <x v="4"/>
    <x v="3"/>
    <x v="0"/>
    <x v="0"/>
    <x v="0"/>
    <x v="0"/>
  </r>
  <r>
    <m/>
    <x v="1"/>
    <x v="0"/>
    <x v="1"/>
    <m/>
    <m/>
    <m/>
    <x v="0"/>
    <m/>
    <x v="5"/>
    <m/>
    <m/>
    <m/>
    <m/>
    <m/>
    <m/>
    <m/>
    <m/>
    <m/>
    <m/>
    <m/>
    <m/>
    <x v="0"/>
    <x v="0"/>
    <x v="0"/>
    <m/>
    <m/>
    <x v="2"/>
    <m/>
    <m/>
    <m/>
    <m/>
    <m/>
    <m/>
    <x v="0"/>
    <x v="2"/>
    <x v="0"/>
    <x v="1"/>
    <x v="1"/>
    <x v="2"/>
    <x v="0"/>
    <x v="0"/>
    <x v="0"/>
    <x v="5"/>
    <x v="0"/>
    <x v="2"/>
    <x v="4"/>
    <x v="0"/>
    <x v="1"/>
    <x v="0"/>
    <x v="1"/>
    <x v="1"/>
    <x v="1"/>
    <x v="1"/>
    <x v="2"/>
    <x v="0"/>
    <x v="0"/>
    <x v="0"/>
    <x v="0"/>
    <x v="0"/>
  </r>
  <r>
    <m/>
    <x v="1"/>
    <x v="0"/>
    <x v="0"/>
    <m/>
    <m/>
    <m/>
    <x v="0"/>
    <m/>
    <x v="3"/>
    <m/>
    <m/>
    <m/>
    <m/>
    <m/>
    <m/>
    <m/>
    <m/>
    <m/>
    <m/>
    <m/>
    <m/>
    <x v="0"/>
    <x v="0"/>
    <x v="2"/>
    <m/>
    <m/>
    <x v="2"/>
    <m/>
    <m/>
    <m/>
    <m/>
    <m/>
    <m/>
    <x v="0"/>
    <x v="2"/>
    <x v="2"/>
    <x v="3"/>
    <x v="4"/>
    <x v="3"/>
    <x v="3"/>
    <x v="2"/>
    <x v="1"/>
    <x v="3"/>
    <x v="2"/>
    <x v="1"/>
    <x v="0"/>
    <x v="1"/>
    <x v="1"/>
    <x v="0"/>
    <x v="1"/>
    <x v="1"/>
    <x v="1"/>
    <x v="1"/>
    <x v="2"/>
    <x v="0"/>
    <x v="0"/>
    <x v="0"/>
    <x v="0"/>
    <x v="0"/>
  </r>
  <r>
    <m/>
    <x v="1"/>
    <x v="0"/>
    <x v="1"/>
    <m/>
    <m/>
    <m/>
    <x v="0"/>
    <m/>
    <x v="0"/>
    <m/>
    <m/>
    <m/>
    <m/>
    <m/>
    <m/>
    <m/>
    <m/>
    <m/>
    <m/>
    <m/>
    <m/>
    <x v="0"/>
    <x v="0"/>
    <x v="1"/>
    <m/>
    <m/>
    <x v="3"/>
    <m/>
    <m/>
    <m/>
    <m/>
    <m/>
    <m/>
    <x v="1"/>
    <x v="3"/>
    <x v="0"/>
    <x v="0"/>
    <x v="4"/>
    <x v="0"/>
    <x v="1"/>
    <x v="0"/>
    <x v="0"/>
    <x v="1"/>
    <x v="0"/>
    <x v="1"/>
    <x v="3"/>
    <x v="0"/>
    <x v="3"/>
    <x v="2"/>
    <x v="0"/>
    <x v="0"/>
    <x v="2"/>
    <x v="2"/>
    <x v="0"/>
    <x v="0"/>
    <x v="0"/>
    <x v="0"/>
    <x v="0"/>
    <x v="0"/>
  </r>
  <r>
    <m/>
    <x v="1"/>
    <x v="0"/>
    <x v="1"/>
    <m/>
    <m/>
    <m/>
    <x v="0"/>
    <m/>
    <x v="2"/>
    <m/>
    <m/>
    <m/>
    <m/>
    <m/>
    <m/>
    <m/>
    <m/>
    <m/>
    <m/>
    <m/>
    <m/>
    <x v="0"/>
    <x v="0"/>
    <x v="0"/>
    <m/>
    <m/>
    <x v="2"/>
    <m/>
    <m/>
    <m/>
    <m/>
    <m/>
    <m/>
    <x v="0"/>
    <x v="2"/>
    <x v="2"/>
    <x v="1"/>
    <x v="1"/>
    <x v="2"/>
    <x v="0"/>
    <x v="0"/>
    <x v="0"/>
    <x v="1"/>
    <x v="0"/>
    <x v="2"/>
    <x v="2"/>
    <x v="0"/>
    <x v="1"/>
    <x v="0"/>
    <x v="1"/>
    <x v="1"/>
    <x v="1"/>
    <x v="1"/>
    <x v="5"/>
    <x v="0"/>
    <x v="0"/>
    <x v="0"/>
    <x v="0"/>
    <x v="0"/>
  </r>
  <r>
    <m/>
    <x v="1"/>
    <x v="0"/>
    <x v="0"/>
    <m/>
    <m/>
    <m/>
    <x v="0"/>
    <m/>
    <x v="2"/>
    <m/>
    <m/>
    <m/>
    <m/>
    <m/>
    <m/>
    <m/>
    <m/>
    <m/>
    <m/>
    <m/>
    <m/>
    <x v="0"/>
    <x v="0"/>
    <x v="0"/>
    <m/>
    <m/>
    <x v="2"/>
    <m/>
    <m/>
    <m/>
    <m/>
    <m/>
    <m/>
    <x v="0"/>
    <x v="2"/>
    <x v="0"/>
    <x v="1"/>
    <x v="1"/>
    <x v="2"/>
    <x v="0"/>
    <x v="0"/>
    <x v="0"/>
    <x v="1"/>
    <x v="0"/>
    <x v="2"/>
    <x v="2"/>
    <x v="0"/>
    <x v="3"/>
    <x v="0"/>
    <x v="1"/>
    <x v="1"/>
    <x v="4"/>
    <x v="1"/>
    <x v="5"/>
    <x v="4"/>
    <x v="0"/>
    <x v="0"/>
    <x v="0"/>
    <x v="0"/>
  </r>
  <r>
    <m/>
    <x v="1"/>
    <x v="0"/>
    <x v="0"/>
    <m/>
    <m/>
    <m/>
    <x v="0"/>
    <m/>
    <x v="2"/>
    <m/>
    <m/>
    <m/>
    <m/>
    <m/>
    <m/>
    <m/>
    <m/>
    <m/>
    <m/>
    <m/>
    <m/>
    <x v="0"/>
    <x v="0"/>
    <x v="0"/>
    <m/>
    <m/>
    <x v="2"/>
    <m/>
    <m/>
    <m/>
    <m/>
    <m/>
    <m/>
    <x v="0"/>
    <x v="2"/>
    <x v="0"/>
    <x v="1"/>
    <x v="1"/>
    <x v="2"/>
    <x v="0"/>
    <x v="0"/>
    <x v="0"/>
    <x v="1"/>
    <x v="2"/>
    <x v="2"/>
    <x v="0"/>
    <x v="0"/>
    <x v="3"/>
    <x v="0"/>
    <x v="2"/>
    <x v="2"/>
    <x v="2"/>
    <x v="1"/>
    <x v="5"/>
    <x v="0"/>
    <x v="0"/>
    <x v="0"/>
    <x v="0"/>
    <x v="0"/>
  </r>
  <r>
    <m/>
    <x v="1"/>
    <x v="0"/>
    <x v="1"/>
    <m/>
    <m/>
    <m/>
    <x v="2"/>
    <m/>
    <x v="4"/>
    <m/>
    <m/>
    <m/>
    <m/>
    <m/>
    <m/>
    <m/>
    <m/>
    <m/>
    <m/>
    <m/>
    <m/>
    <x v="5"/>
    <x v="0"/>
    <x v="1"/>
    <m/>
    <m/>
    <x v="0"/>
    <m/>
    <m/>
    <m/>
    <m/>
    <m/>
    <m/>
    <x v="1"/>
    <x v="4"/>
    <x v="0"/>
    <x v="2"/>
    <x v="4"/>
    <x v="3"/>
    <x v="3"/>
    <x v="3"/>
    <x v="1"/>
    <x v="3"/>
    <x v="2"/>
    <x v="1"/>
    <x v="0"/>
    <x v="3"/>
    <x v="2"/>
    <x v="2"/>
    <x v="2"/>
    <x v="2"/>
    <x v="4"/>
    <x v="3"/>
    <x v="5"/>
    <x v="3"/>
    <x v="0"/>
    <x v="0"/>
    <x v="0"/>
    <x v="0"/>
  </r>
  <r>
    <m/>
    <x v="1"/>
    <x v="0"/>
    <x v="0"/>
    <m/>
    <m/>
    <m/>
    <x v="0"/>
    <m/>
    <x v="4"/>
    <m/>
    <m/>
    <m/>
    <m/>
    <m/>
    <m/>
    <m/>
    <m/>
    <m/>
    <m/>
    <m/>
    <m/>
    <x v="0"/>
    <x v="0"/>
    <x v="0"/>
    <m/>
    <m/>
    <x v="4"/>
    <m/>
    <m/>
    <m/>
    <m/>
    <m/>
    <m/>
    <x v="0"/>
    <x v="2"/>
    <x v="5"/>
    <x v="1"/>
    <x v="4"/>
    <x v="0"/>
    <x v="0"/>
    <x v="2"/>
    <x v="0"/>
    <x v="1"/>
    <x v="0"/>
    <x v="2"/>
    <x v="5"/>
    <x v="3"/>
    <x v="2"/>
    <x v="4"/>
    <x v="1"/>
    <x v="1"/>
    <x v="2"/>
    <x v="1"/>
    <x v="3"/>
    <x v="0"/>
    <x v="0"/>
    <x v="0"/>
    <x v="0"/>
    <x v="0"/>
  </r>
  <r>
    <m/>
    <x v="1"/>
    <x v="0"/>
    <x v="0"/>
    <m/>
    <m/>
    <m/>
    <x v="0"/>
    <m/>
    <x v="4"/>
    <m/>
    <m/>
    <m/>
    <m/>
    <m/>
    <m/>
    <m/>
    <m/>
    <m/>
    <m/>
    <m/>
    <m/>
    <x v="0"/>
    <x v="0"/>
    <x v="0"/>
    <m/>
    <m/>
    <x v="2"/>
    <m/>
    <m/>
    <m/>
    <m/>
    <m/>
    <m/>
    <x v="0"/>
    <x v="4"/>
    <x v="2"/>
    <x v="2"/>
    <x v="1"/>
    <x v="2"/>
    <x v="0"/>
    <x v="0"/>
    <x v="0"/>
    <x v="1"/>
    <x v="0"/>
    <x v="1"/>
    <x v="5"/>
    <x v="0"/>
    <x v="1"/>
    <x v="0"/>
    <x v="1"/>
    <x v="1"/>
    <x v="1"/>
    <x v="1"/>
    <x v="3"/>
    <x v="0"/>
    <x v="0"/>
    <x v="0"/>
    <x v="0"/>
    <x v="0"/>
  </r>
  <r>
    <m/>
    <x v="1"/>
    <x v="0"/>
    <x v="1"/>
    <m/>
    <m/>
    <m/>
    <x v="0"/>
    <m/>
    <x v="3"/>
    <m/>
    <m/>
    <m/>
    <m/>
    <m/>
    <m/>
    <m/>
    <m/>
    <m/>
    <m/>
    <m/>
    <m/>
    <x v="2"/>
    <x v="0"/>
    <x v="0"/>
    <m/>
    <m/>
    <x v="2"/>
    <m/>
    <m/>
    <m/>
    <m/>
    <m/>
    <m/>
    <x v="0"/>
    <x v="2"/>
    <x v="0"/>
    <x v="2"/>
    <x v="4"/>
    <x v="3"/>
    <x v="3"/>
    <x v="2"/>
    <x v="5"/>
    <x v="3"/>
    <x v="0"/>
    <x v="2"/>
    <x v="0"/>
    <x v="5"/>
    <x v="1"/>
    <x v="4"/>
    <x v="1"/>
    <x v="2"/>
    <x v="1"/>
    <x v="2"/>
    <x v="2"/>
    <x v="4"/>
    <x v="0"/>
    <x v="0"/>
    <x v="0"/>
    <x v="0"/>
  </r>
  <r>
    <m/>
    <x v="1"/>
    <x v="0"/>
    <x v="1"/>
    <m/>
    <m/>
    <m/>
    <x v="4"/>
    <m/>
    <x v="2"/>
    <m/>
    <m/>
    <m/>
    <m/>
    <m/>
    <m/>
    <m/>
    <m/>
    <m/>
    <m/>
    <m/>
    <m/>
    <x v="0"/>
    <x v="0"/>
    <x v="0"/>
    <m/>
    <m/>
    <x v="0"/>
    <m/>
    <m/>
    <m/>
    <m/>
    <m/>
    <m/>
    <x v="0"/>
    <x v="3"/>
    <x v="5"/>
    <x v="1"/>
    <x v="1"/>
    <x v="0"/>
    <x v="0"/>
    <x v="0"/>
    <x v="3"/>
    <x v="1"/>
    <x v="0"/>
    <x v="4"/>
    <x v="2"/>
    <x v="0"/>
    <x v="1"/>
    <x v="3"/>
    <x v="1"/>
    <x v="1"/>
    <x v="1"/>
    <x v="1"/>
    <x v="5"/>
    <x v="0"/>
    <x v="0"/>
    <x v="0"/>
    <x v="0"/>
    <x v="0"/>
  </r>
  <r>
    <m/>
    <x v="1"/>
    <x v="0"/>
    <x v="1"/>
    <m/>
    <m/>
    <m/>
    <x v="0"/>
    <m/>
    <x v="2"/>
    <m/>
    <m/>
    <m/>
    <m/>
    <m/>
    <m/>
    <m/>
    <m/>
    <m/>
    <m/>
    <m/>
    <m/>
    <x v="0"/>
    <x v="0"/>
    <x v="0"/>
    <m/>
    <m/>
    <x v="2"/>
    <m/>
    <m/>
    <m/>
    <m/>
    <m/>
    <m/>
    <x v="0"/>
    <x v="2"/>
    <x v="0"/>
    <x v="1"/>
    <x v="1"/>
    <x v="2"/>
    <x v="0"/>
    <x v="0"/>
    <x v="0"/>
    <x v="1"/>
    <x v="0"/>
    <x v="2"/>
    <x v="2"/>
    <x v="0"/>
    <x v="1"/>
    <x v="0"/>
    <x v="1"/>
    <x v="1"/>
    <x v="5"/>
    <x v="1"/>
    <x v="1"/>
    <x v="0"/>
    <x v="0"/>
    <x v="0"/>
    <x v="0"/>
    <x v="0"/>
  </r>
  <r>
    <m/>
    <x v="1"/>
    <x v="0"/>
    <x v="2"/>
    <m/>
    <m/>
    <m/>
    <x v="0"/>
    <m/>
    <x v="2"/>
    <m/>
    <m/>
    <m/>
    <m/>
    <m/>
    <m/>
    <m/>
    <m/>
    <m/>
    <m/>
    <m/>
    <m/>
    <x v="2"/>
    <x v="1"/>
    <x v="2"/>
    <m/>
    <m/>
    <x v="2"/>
    <m/>
    <m/>
    <m/>
    <m/>
    <m/>
    <m/>
    <x v="1"/>
    <x v="4"/>
    <x v="0"/>
    <x v="1"/>
    <x v="1"/>
    <x v="2"/>
    <x v="0"/>
    <x v="0"/>
    <x v="0"/>
    <x v="1"/>
    <x v="0"/>
    <x v="2"/>
    <x v="2"/>
    <x v="0"/>
    <x v="2"/>
    <x v="0"/>
    <x v="1"/>
    <x v="1"/>
    <x v="1"/>
    <x v="1"/>
    <x v="5"/>
    <x v="0"/>
    <x v="0"/>
    <x v="0"/>
    <x v="0"/>
    <x v="0"/>
  </r>
  <r>
    <m/>
    <x v="1"/>
    <x v="0"/>
    <x v="1"/>
    <m/>
    <m/>
    <m/>
    <x v="0"/>
    <m/>
    <x v="3"/>
    <m/>
    <m/>
    <m/>
    <m/>
    <m/>
    <m/>
    <m/>
    <m/>
    <m/>
    <m/>
    <m/>
    <m/>
    <x v="0"/>
    <x v="1"/>
    <x v="4"/>
    <m/>
    <m/>
    <x v="2"/>
    <m/>
    <m/>
    <m/>
    <m/>
    <m/>
    <m/>
    <x v="0"/>
    <x v="2"/>
    <x v="0"/>
    <x v="0"/>
    <x v="1"/>
    <x v="2"/>
    <x v="0"/>
    <x v="0"/>
    <x v="0"/>
    <x v="1"/>
    <x v="0"/>
    <x v="2"/>
    <x v="2"/>
    <x v="0"/>
    <x v="3"/>
    <x v="0"/>
    <x v="3"/>
    <x v="1"/>
    <x v="1"/>
    <x v="1"/>
    <x v="2"/>
    <x v="0"/>
    <x v="0"/>
    <x v="0"/>
    <x v="0"/>
    <x v="0"/>
  </r>
  <r>
    <m/>
    <x v="1"/>
    <x v="3"/>
    <x v="0"/>
    <m/>
    <m/>
    <m/>
    <x v="0"/>
    <m/>
    <x v="2"/>
    <m/>
    <m/>
    <m/>
    <m/>
    <m/>
    <m/>
    <m/>
    <m/>
    <m/>
    <m/>
    <m/>
    <m/>
    <x v="5"/>
    <x v="2"/>
    <x v="0"/>
    <m/>
    <m/>
    <x v="2"/>
    <m/>
    <m/>
    <m/>
    <m/>
    <m/>
    <m/>
    <x v="0"/>
    <x v="2"/>
    <x v="2"/>
    <x v="1"/>
    <x v="4"/>
    <x v="2"/>
    <x v="0"/>
    <x v="0"/>
    <x v="0"/>
    <x v="2"/>
    <x v="4"/>
    <x v="2"/>
    <x v="3"/>
    <x v="0"/>
    <x v="2"/>
    <x v="0"/>
    <x v="3"/>
    <x v="1"/>
    <x v="0"/>
    <x v="1"/>
    <x v="2"/>
    <x v="0"/>
    <x v="0"/>
    <x v="0"/>
    <x v="0"/>
    <x v="0"/>
  </r>
  <r>
    <m/>
    <x v="1"/>
    <x v="3"/>
    <x v="0"/>
    <m/>
    <m/>
    <m/>
    <x v="2"/>
    <m/>
    <x v="4"/>
    <m/>
    <m/>
    <m/>
    <m/>
    <m/>
    <m/>
    <m/>
    <m/>
    <m/>
    <m/>
    <m/>
    <m/>
    <x v="4"/>
    <x v="0"/>
    <x v="2"/>
    <m/>
    <m/>
    <x v="2"/>
    <m/>
    <m/>
    <m/>
    <m/>
    <m/>
    <m/>
    <x v="2"/>
    <x v="5"/>
    <x v="2"/>
    <x v="3"/>
    <x v="1"/>
    <x v="3"/>
    <x v="1"/>
    <x v="2"/>
    <x v="1"/>
    <x v="1"/>
    <x v="5"/>
    <x v="4"/>
    <x v="5"/>
    <x v="1"/>
    <x v="3"/>
    <x v="2"/>
    <x v="5"/>
    <x v="4"/>
    <x v="1"/>
    <x v="1"/>
    <x v="3"/>
    <x v="3"/>
    <x v="0"/>
    <x v="0"/>
    <x v="0"/>
    <x v="0"/>
  </r>
  <r>
    <m/>
    <x v="1"/>
    <x v="3"/>
    <x v="0"/>
    <m/>
    <m/>
    <m/>
    <x v="0"/>
    <m/>
    <x v="3"/>
    <m/>
    <m/>
    <m/>
    <m/>
    <m/>
    <m/>
    <m/>
    <m/>
    <m/>
    <m/>
    <m/>
    <m/>
    <x v="0"/>
    <x v="0"/>
    <x v="0"/>
    <m/>
    <m/>
    <x v="0"/>
    <m/>
    <m/>
    <m/>
    <m/>
    <m/>
    <m/>
    <x v="0"/>
    <x v="4"/>
    <x v="0"/>
    <x v="2"/>
    <x v="4"/>
    <x v="3"/>
    <x v="3"/>
    <x v="0"/>
    <x v="0"/>
    <x v="3"/>
    <x v="0"/>
    <x v="1"/>
    <x v="0"/>
    <x v="1"/>
    <x v="2"/>
    <x v="2"/>
    <x v="3"/>
    <x v="2"/>
    <x v="2"/>
    <x v="1"/>
    <x v="4"/>
    <x v="3"/>
    <x v="0"/>
    <x v="0"/>
    <x v="0"/>
    <x v="0"/>
  </r>
  <r>
    <m/>
    <x v="1"/>
    <x v="3"/>
    <x v="0"/>
    <m/>
    <m/>
    <m/>
    <x v="0"/>
    <m/>
    <x v="0"/>
    <m/>
    <m/>
    <m/>
    <m/>
    <m/>
    <m/>
    <m/>
    <m/>
    <m/>
    <m/>
    <m/>
    <m/>
    <x v="0"/>
    <x v="0"/>
    <x v="1"/>
    <m/>
    <m/>
    <x v="0"/>
    <m/>
    <m/>
    <m/>
    <m/>
    <m/>
    <m/>
    <x v="1"/>
    <x v="0"/>
    <x v="2"/>
    <x v="2"/>
    <x v="1"/>
    <x v="3"/>
    <x v="4"/>
    <x v="2"/>
    <x v="1"/>
    <x v="3"/>
    <x v="5"/>
    <x v="3"/>
    <x v="3"/>
    <x v="1"/>
    <x v="3"/>
    <x v="3"/>
    <x v="0"/>
    <x v="0"/>
    <x v="2"/>
    <x v="3"/>
    <x v="3"/>
    <x v="3"/>
    <x v="0"/>
    <x v="0"/>
    <x v="0"/>
    <x v="0"/>
  </r>
  <r>
    <m/>
    <x v="1"/>
    <x v="3"/>
    <x v="0"/>
    <m/>
    <m/>
    <m/>
    <x v="0"/>
    <m/>
    <x v="2"/>
    <m/>
    <m/>
    <m/>
    <m/>
    <m/>
    <m/>
    <m/>
    <m/>
    <m/>
    <m/>
    <m/>
    <m/>
    <x v="0"/>
    <x v="0"/>
    <x v="0"/>
    <m/>
    <m/>
    <x v="2"/>
    <m/>
    <m/>
    <m/>
    <m/>
    <m/>
    <m/>
    <x v="0"/>
    <x v="2"/>
    <x v="2"/>
    <x v="1"/>
    <x v="3"/>
    <x v="2"/>
    <x v="0"/>
    <x v="2"/>
    <x v="1"/>
    <x v="2"/>
    <x v="0"/>
    <x v="0"/>
    <x v="2"/>
    <x v="0"/>
    <x v="2"/>
    <x v="0"/>
    <x v="1"/>
    <x v="2"/>
    <x v="1"/>
    <x v="1"/>
    <x v="3"/>
    <x v="0"/>
    <x v="0"/>
    <x v="0"/>
    <x v="0"/>
    <x v="0"/>
  </r>
  <r>
    <m/>
    <x v="1"/>
    <x v="0"/>
    <x v="0"/>
    <m/>
    <m/>
    <m/>
    <x v="0"/>
    <m/>
    <x v="2"/>
    <m/>
    <m/>
    <m/>
    <m/>
    <m/>
    <m/>
    <m/>
    <m/>
    <m/>
    <m/>
    <m/>
    <m/>
    <x v="0"/>
    <x v="0"/>
    <x v="1"/>
    <m/>
    <m/>
    <x v="2"/>
    <m/>
    <m/>
    <m/>
    <m/>
    <m/>
    <m/>
    <x v="0"/>
    <x v="2"/>
    <x v="5"/>
    <x v="1"/>
    <x v="0"/>
    <x v="0"/>
    <x v="3"/>
    <x v="3"/>
    <x v="5"/>
    <x v="1"/>
    <x v="0"/>
    <x v="1"/>
    <x v="2"/>
    <x v="3"/>
    <x v="5"/>
    <x v="3"/>
    <x v="1"/>
    <x v="1"/>
    <x v="1"/>
    <x v="1"/>
    <x v="2"/>
    <x v="2"/>
    <x v="0"/>
    <x v="0"/>
    <x v="0"/>
    <x v="0"/>
  </r>
  <r>
    <m/>
    <x v="1"/>
    <x v="3"/>
    <x v="1"/>
    <m/>
    <m/>
    <m/>
    <x v="2"/>
    <m/>
    <x v="2"/>
    <m/>
    <m/>
    <m/>
    <m/>
    <m/>
    <m/>
    <m/>
    <m/>
    <m/>
    <m/>
    <m/>
    <m/>
    <x v="0"/>
    <x v="0"/>
    <x v="0"/>
    <m/>
    <m/>
    <x v="2"/>
    <m/>
    <m/>
    <m/>
    <m/>
    <m/>
    <m/>
    <x v="4"/>
    <x v="0"/>
    <x v="3"/>
    <x v="0"/>
    <x v="0"/>
    <x v="0"/>
    <x v="0"/>
    <x v="0"/>
    <x v="0"/>
    <x v="1"/>
    <x v="0"/>
    <x v="3"/>
    <x v="2"/>
    <x v="0"/>
    <x v="1"/>
    <x v="0"/>
    <x v="2"/>
    <x v="1"/>
    <x v="1"/>
    <x v="1"/>
    <x v="2"/>
    <x v="2"/>
    <x v="0"/>
    <x v="0"/>
    <x v="0"/>
    <x v="0"/>
  </r>
  <r>
    <m/>
    <x v="1"/>
    <x v="3"/>
    <x v="0"/>
    <m/>
    <m/>
    <m/>
    <x v="0"/>
    <m/>
    <x v="2"/>
    <m/>
    <m/>
    <m/>
    <m/>
    <m/>
    <m/>
    <m/>
    <m/>
    <m/>
    <m/>
    <m/>
    <m/>
    <x v="0"/>
    <x v="0"/>
    <x v="2"/>
    <m/>
    <m/>
    <x v="2"/>
    <m/>
    <m/>
    <m/>
    <m/>
    <m/>
    <m/>
    <x v="3"/>
    <x v="3"/>
    <x v="0"/>
    <x v="1"/>
    <x v="1"/>
    <x v="2"/>
    <x v="0"/>
    <x v="2"/>
    <x v="1"/>
    <x v="1"/>
    <x v="3"/>
    <x v="1"/>
    <x v="0"/>
    <x v="5"/>
    <x v="3"/>
    <x v="0"/>
    <x v="3"/>
    <x v="3"/>
    <x v="2"/>
    <x v="1"/>
    <x v="5"/>
    <x v="0"/>
    <x v="0"/>
    <x v="0"/>
    <x v="0"/>
    <x v="0"/>
  </r>
  <r>
    <m/>
    <x v="1"/>
    <x v="3"/>
    <x v="0"/>
    <m/>
    <m/>
    <m/>
    <x v="3"/>
    <m/>
    <x v="0"/>
    <m/>
    <m/>
    <m/>
    <m/>
    <m/>
    <m/>
    <m/>
    <m/>
    <m/>
    <m/>
    <m/>
    <m/>
    <x v="0"/>
    <x v="0"/>
    <x v="0"/>
    <m/>
    <m/>
    <x v="1"/>
    <m/>
    <m/>
    <m/>
    <m/>
    <m/>
    <m/>
    <x v="5"/>
    <x v="1"/>
    <x v="0"/>
    <x v="0"/>
    <x v="4"/>
    <x v="3"/>
    <x v="0"/>
    <x v="0"/>
    <x v="1"/>
    <x v="0"/>
    <x v="3"/>
    <x v="4"/>
    <x v="4"/>
    <x v="5"/>
    <x v="0"/>
    <x v="1"/>
    <x v="5"/>
    <x v="5"/>
    <x v="5"/>
    <x v="5"/>
    <x v="1"/>
    <x v="1"/>
    <x v="0"/>
    <x v="0"/>
    <x v="0"/>
    <x v="0"/>
  </r>
  <r>
    <m/>
    <x v="1"/>
    <x v="3"/>
    <x v="0"/>
    <m/>
    <m/>
    <m/>
    <x v="3"/>
    <m/>
    <x v="3"/>
    <m/>
    <m/>
    <m/>
    <m/>
    <m/>
    <m/>
    <m/>
    <m/>
    <m/>
    <m/>
    <m/>
    <m/>
    <x v="0"/>
    <x v="0"/>
    <x v="2"/>
    <m/>
    <m/>
    <x v="2"/>
    <m/>
    <m/>
    <m/>
    <m/>
    <m/>
    <m/>
    <x v="2"/>
    <x v="4"/>
    <x v="2"/>
    <x v="2"/>
    <x v="4"/>
    <x v="4"/>
    <x v="0"/>
    <x v="2"/>
    <x v="1"/>
    <x v="3"/>
    <x v="5"/>
    <x v="1"/>
    <x v="0"/>
    <x v="4"/>
    <x v="2"/>
    <x v="0"/>
    <x v="3"/>
    <x v="1"/>
    <x v="1"/>
    <x v="3"/>
    <x v="3"/>
    <x v="3"/>
    <x v="0"/>
    <x v="0"/>
    <x v="0"/>
    <x v="0"/>
  </r>
  <r>
    <m/>
    <x v="1"/>
    <x v="3"/>
    <x v="0"/>
    <m/>
    <m/>
    <m/>
    <x v="0"/>
    <m/>
    <x v="0"/>
    <m/>
    <m/>
    <m/>
    <m/>
    <m/>
    <m/>
    <m/>
    <m/>
    <m/>
    <m/>
    <m/>
    <m/>
    <x v="1"/>
    <x v="4"/>
    <x v="1"/>
    <m/>
    <m/>
    <x v="2"/>
    <m/>
    <m/>
    <m/>
    <m/>
    <m/>
    <m/>
    <x v="0"/>
    <x v="4"/>
    <x v="2"/>
    <x v="0"/>
    <x v="0"/>
    <x v="3"/>
    <x v="3"/>
    <x v="0"/>
    <x v="1"/>
    <x v="1"/>
    <x v="2"/>
    <x v="0"/>
    <x v="0"/>
    <x v="1"/>
    <x v="2"/>
    <x v="0"/>
    <x v="0"/>
    <x v="1"/>
    <x v="1"/>
    <x v="1"/>
    <x v="3"/>
    <x v="3"/>
    <x v="0"/>
    <x v="0"/>
    <x v="0"/>
    <x v="0"/>
  </r>
  <r>
    <m/>
    <x v="1"/>
    <x v="4"/>
    <x v="1"/>
    <m/>
    <m/>
    <m/>
    <x v="0"/>
    <m/>
    <x v="3"/>
    <m/>
    <m/>
    <m/>
    <m/>
    <m/>
    <m/>
    <m/>
    <m/>
    <m/>
    <m/>
    <m/>
    <m/>
    <x v="0"/>
    <x v="0"/>
    <x v="0"/>
    <m/>
    <m/>
    <x v="2"/>
    <m/>
    <m/>
    <m/>
    <m/>
    <m/>
    <m/>
    <x v="0"/>
    <x v="0"/>
    <x v="0"/>
    <x v="1"/>
    <x v="1"/>
    <x v="3"/>
    <x v="0"/>
    <x v="0"/>
    <x v="0"/>
    <x v="1"/>
    <x v="0"/>
    <x v="1"/>
    <x v="2"/>
    <x v="0"/>
    <x v="0"/>
    <x v="0"/>
    <x v="3"/>
    <x v="1"/>
    <x v="5"/>
    <x v="2"/>
    <x v="2"/>
    <x v="2"/>
    <x v="0"/>
    <x v="0"/>
    <x v="0"/>
    <x v="0"/>
  </r>
  <r>
    <m/>
    <x v="1"/>
    <x v="4"/>
    <x v="1"/>
    <m/>
    <m/>
    <m/>
    <x v="0"/>
    <m/>
    <x v="5"/>
    <m/>
    <m/>
    <m/>
    <m/>
    <m/>
    <m/>
    <m/>
    <m/>
    <m/>
    <m/>
    <m/>
    <m/>
    <x v="0"/>
    <x v="0"/>
    <x v="0"/>
    <m/>
    <m/>
    <x v="2"/>
    <m/>
    <m/>
    <m/>
    <m/>
    <m/>
    <m/>
    <x v="0"/>
    <x v="4"/>
    <x v="2"/>
    <x v="5"/>
    <x v="0"/>
    <x v="3"/>
    <x v="5"/>
    <x v="0"/>
    <x v="0"/>
    <x v="1"/>
    <x v="0"/>
    <x v="1"/>
    <x v="2"/>
    <x v="0"/>
    <x v="1"/>
    <x v="0"/>
    <x v="0"/>
    <x v="1"/>
    <x v="3"/>
    <x v="3"/>
    <x v="3"/>
    <x v="0"/>
    <x v="0"/>
    <x v="0"/>
    <x v="0"/>
    <x v="0"/>
  </r>
  <r>
    <m/>
    <x v="1"/>
    <x v="4"/>
    <x v="1"/>
    <m/>
    <m/>
    <m/>
    <x v="0"/>
    <m/>
    <x v="2"/>
    <m/>
    <m/>
    <m/>
    <m/>
    <m/>
    <m/>
    <m/>
    <m/>
    <m/>
    <m/>
    <m/>
    <m/>
    <x v="0"/>
    <x v="0"/>
    <x v="0"/>
    <m/>
    <m/>
    <x v="2"/>
    <m/>
    <m/>
    <m/>
    <m/>
    <m/>
    <m/>
    <x v="0"/>
    <x v="2"/>
    <x v="0"/>
    <x v="1"/>
    <x v="1"/>
    <x v="2"/>
    <x v="0"/>
    <x v="0"/>
    <x v="0"/>
    <x v="1"/>
    <x v="0"/>
    <x v="2"/>
    <x v="2"/>
    <x v="0"/>
    <x v="0"/>
    <x v="0"/>
    <x v="1"/>
    <x v="1"/>
    <x v="1"/>
    <x v="1"/>
    <x v="2"/>
    <x v="3"/>
    <x v="0"/>
    <x v="0"/>
    <x v="0"/>
    <x v="0"/>
  </r>
  <r>
    <m/>
    <x v="1"/>
    <x v="4"/>
    <x v="1"/>
    <m/>
    <m/>
    <m/>
    <x v="0"/>
    <m/>
    <x v="5"/>
    <m/>
    <m/>
    <m/>
    <m/>
    <m/>
    <m/>
    <m/>
    <m/>
    <m/>
    <m/>
    <m/>
    <m/>
    <x v="0"/>
    <x v="0"/>
    <x v="1"/>
    <m/>
    <m/>
    <x v="2"/>
    <m/>
    <m/>
    <m/>
    <m/>
    <m/>
    <m/>
    <x v="1"/>
    <x v="4"/>
    <x v="2"/>
    <x v="1"/>
    <x v="4"/>
    <x v="3"/>
    <x v="3"/>
    <x v="2"/>
    <x v="0"/>
    <x v="1"/>
    <x v="2"/>
    <x v="3"/>
    <x v="3"/>
    <x v="3"/>
    <x v="0"/>
    <x v="2"/>
    <x v="0"/>
    <x v="2"/>
    <x v="0"/>
    <x v="3"/>
    <x v="3"/>
    <x v="2"/>
    <x v="0"/>
    <x v="0"/>
    <x v="0"/>
    <x v="0"/>
  </r>
  <r>
    <m/>
    <x v="1"/>
    <x v="4"/>
    <x v="1"/>
    <m/>
    <m/>
    <m/>
    <x v="0"/>
    <m/>
    <x v="2"/>
    <m/>
    <m/>
    <m/>
    <m/>
    <m/>
    <m/>
    <m/>
    <m/>
    <m/>
    <m/>
    <m/>
    <m/>
    <x v="0"/>
    <x v="0"/>
    <x v="0"/>
    <m/>
    <m/>
    <x v="2"/>
    <m/>
    <m/>
    <m/>
    <m/>
    <m/>
    <m/>
    <x v="3"/>
    <x v="5"/>
    <x v="0"/>
    <x v="1"/>
    <x v="1"/>
    <x v="2"/>
    <x v="0"/>
    <x v="0"/>
    <x v="0"/>
    <x v="1"/>
    <x v="5"/>
    <x v="1"/>
    <x v="2"/>
    <x v="0"/>
    <x v="3"/>
    <x v="0"/>
    <x v="2"/>
    <x v="1"/>
    <x v="1"/>
    <x v="1"/>
    <x v="5"/>
    <x v="0"/>
    <x v="0"/>
    <x v="0"/>
    <x v="0"/>
    <x v="0"/>
  </r>
  <r>
    <m/>
    <x v="1"/>
    <x v="4"/>
    <x v="1"/>
    <m/>
    <m/>
    <m/>
    <x v="2"/>
    <m/>
    <x v="3"/>
    <m/>
    <m/>
    <m/>
    <m/>
    <m/>
    <m/>
    <m/>
    <m/>
    <m/>
    <m/>
    <m/>
    <m/>
    <x v="0"/>
    <x v="0"/>
    <x v="4"/>
    <m/>
    <m/>
    <x v="0"/>
    <m/>
    <m/>
    <m/>
    <m/>
    <m/>
    <m/>
    <x v="1"/>
    <x v="4"/>
    <x v="2"/>
    <x v="2"/>
    <x v="4"/>
    <x v="3"/>
    <x v="3"/>
    <x v="2"/>
    <x v="1"/>
    <x v="4"/>
    <x v="2"/>
    <x v="1"/>
    <x v="0"/>
    <x v="0"/>
    <x v="2"/>
    <x v="2"/>
    <x v="3"/>
    <x v="2"/>
    <x v="2"/>
    <x v="0"/>
    <x v="3"/>
    <x v="3"/>
    <x v="0"/>
    <x v="0"/>
    <x v="0"/>
    <x v="0"/>
  </r>
  <r>
    <m/>
    <x v="1"/>
    <x v="4"/>
    <x v="1"/>
    <m/>
    <m/>
    <m/>
    <x v="0"/>
    <m/>
    <x v="2"/>
    <m/>
    <m/>
    <m/>
    <m/>
    <m/>
    <m/>
    <m/>
    <m/>
    <m/>
    <m/>
    <m/>
    <m/>
    <x v="0"/>
    <x v="3"/>
    <x v="0"/>
    <m/>
    <m/>
    <x v="2"/>
    <m/>
    <m/>
    <m/>
    <m/>
    <m/>
    <m/>
    <x v="0"/>
    <x v="2"/>
    <x v="0"/>
    <x v="1"/>
    <x v="4"/>
    <x v="2"/>
    <x v="3"/>
    <x v="0"/>
    <x v="0"/>
    <x v="1"/>
    <x v="0"/>
    <x v="1"/>
    <x v="2"/>
    <x v="0"/>
    <x v="0"/>
    <x v="0"/>
    <x v="1"/>
    <x v="1"/>
    <x v="1"/>
    <x v="1"/>
    <x v="3"/>
    <x v="0"/>
    <x v="0"/>
    <x v="0"/>
    <x v="0"/>
    <x v="0"/>
  </r>
  <r>
    <m/>
    <x v="1"/>
    <x v="4"/>
    <x v="1"/>
    <m/>
    <m/>
    <m/>
    <x v="0"/>
    <m/>
    <x v="2"/>
    <m/>
    <m/>
    <m/>
    <m/>
    <m/>
    <m/>
    <m/>
    <m/>
    <m/>
    <m/>
    <m/>
    <m/>
    <x v="0"/>
    <x v="2"/>
    <x v="0"/>
    <m/>
    <m/>
    <x v="2"/>
    <m/>
    <m/>
    <m/>
    <m/>
    <m/>
    <m/>
    <x v="0"/>
    <x v="2"/>
    <x v="0"/>
    <x v="1"/>
    <x v="1"/>
    <x v="2"/>
    <x v="0"/>
    <x v="0"/>
    <x v="0"/>
    <x v="1"/>
    <x v="2"/>
    <x v="1"/>
    <x v="0"/>
    <x v="0"/>
    <x v="0"/>
    <x v="0"/>
    <x v="3"/>
    <x v="2"/>
    <x v="1"/>
    <x v="1"/>
    <x v="3"/>
    <x v="0"/>
    <x v="0"/>
    <x v="0"/>
    <x v="0"/>
    <x v="0"/>
  </r>
  <r>
    <m/>
    <x v="1"/>
    <x v="4"/>
    <x v="1"/>
    <m/>
    <m/>
    <m/>
    <x v="2"/>
    <m/>
    <x v="3"/>
    <m/>
    <m/>
    <m/>
    <m/>
    <m/>
    <m/>
    <m/>
    <m/>
    <m/>
    <m/>
    <m/>
    <m/>
    <x v="0"/>
    <x v="0"/>
    <x v="0"/>
    <m/>
    <m/>
    <x v="2"/>
    <m/>
    <m/>
    <m/>
    <m/>
    <m/>
    <m/>
    <x v="0"/>
    <x v="2"/>
    <x v="2"/>
    <x v="1"/>
    <x v="0"/>
    <x v="2"/>
    <x v="0"/>
    <x v="2"/>
    <x v="0"/>
    <x v="1"/>
    <x v="0"/>
    <x v="2"/>
    <x v="3"/>
    <x v="0"/>
    <x v="1"/>
    <x v="0"/>
    <x v="3"/>
    <x v="1"/>
    <x v="2"/>
    <x v="3"/>
    <x v="3"/>
    <x v="2"/>
    <x v="0"/>
    <x v="0"/>
    <x v="0"/>
    <x v="0"/>
  </r>
  <r>
    <m/>
    <x v="1"/>
    <x v="4"/>
    <x v="1"/>
    <m/>
    <m/>
    <m/>
    <x v="2"/>
    <m/>
    <x v="3"/>
    <m/>
    <m/>
    <m/>
    <m/>
    <m/>
    <m/>
    <m/>
    <m/>
    <m/>
    <m/>
    <m/>
    <m/>
    <x v="0"/>
    <x v="0"/>
    <x v="0"/>
    <m/>
    <m/>
    <x v="0"/>
    <m/>
    <m/>
    <m/>
    <m/>
    <m/>
    <m/>
    <x v="0"/>
    <x v="4"/>
    <x v="2"/>
    <x v="2"/>
    <x v="4"/>
    <x v="3"/>
    <x v="3"/>
    <x v="2"/>
    <x v="1"/>
    <x v="3"/>
    <x v="2"/>
    <x v="3"/>
    <x v="0"/>
    <x v="1"/>
    <x v="0"/>
    <x v="0"/>
    <x v="4"/>
    <x v="2"/>
    <x v="0"/>
    <x v="1"/>
    <x v="3"/>
    <x v="3"/>
    <x v="0"/>
    <x v="0"/>
    <x v="0"/>
    <x v="0"/>
  </r>
  <r>
    <m/>
    <x v="2"/>
    <x v="2"/>
    <x v="1"/>
    <m/>
    <m/>
    <m/>
    <x v="0"/>
    <m/>
    <x v="2"/>
    <m/>
    <m/>
    <m/>
    <m/>
    <m/>
    <m/>
    <m/>
    <m/>
    <m/>
    <m/>
    <m/>
    <m/>
    <x v="0"/>
    <x v="0"/>
    <x v="0"/>
    <m/>
    <m/>
    <x v="2"/>
    <m/>
    <m/>
    <m/>
    <m/>
    <m/>
    <m/>
    <x v="0"/>
    <x v="2"/>
    <x v="0"/>
    <x v="1"/>
    <x v="1"/>
    <x v="2"/>
    <x v="3"/>
    <x v="2"/>
    <x v="1"/>
    <x v="3"/>
    <x v="0"/>
    <x v="0"/>
    <x v="2"/>
    <x v="0"/>
    <x v="1"/>
    <x v="0"/>
    <x v="1"/>
    <x v="1"/>
    <x v="1"/>
    <x v="1"/>
    <x v="3"/>
    <x v="0"/>
    <x v="0"/>
    <x v="0"/>
    <x v="0"/>
    <x v="0"/>
  </r>
  <r>
    <m/>
    <x v="2"/>
    <x v="2"/>
    <x v="1"/>
    <m/>
    <m/>
    <m/>
    <x v="0"/>
    <m/>
    <x v="2"/>
    <m/>
    <m/>
    <m/>
    <m/>
    <m/>
    <m/>
    <m/>
    <m/>
    <m/>
    <m/>
    <m/>
    <m/>
    <x v="0"/>
    <x v="0"/>
    <x v="0"/>
    <m/>
    <m/>
    <x v="2"/>
    <m/>
    <m/>
    <m/>
    <m/>
    <m/>
    <m/>
    <x v="1"/>
    <x v="2"/>
    <x v="0"/>
    <x v="1"/>
    <x v="4"/>
    <x v="2"/>
    <x v="3"/>
    <x v="0"/>
    <x v="0"/>
    <x v="1"/>
    <x v="2"/>
    <x v="2"/>
    <x v="2"/>
    <x v="0"/>
    <x v="0"/>
    <x v="0"/>
    <x v="2"/>
    <x v="4"/>
    <x v="2"/>
    <x v="4"/>
    <x v="3"/>
    <x v="3"/>
    <x v="0"/>
    <x v="0"/>
    <x v="0"/>
    <x v="0"/>
  </r>
  <r>
    <m/>
    <x v="2"/>
    <x v="2"/>
    <x v="1"/>
    <m/>
    <m/>
    <m/>
    <x v="0"/>
    <m/>
    <x v="2"/>
    <m/>
    <m/>
    <m/>
    <m/>
    <m/>
    <m/>
    <m/>
    <m/>
    <m/>
    <m/>
    <m/>
    <m/>
    <x v="0"/>
    <x v="0"/>
    <x v="0"/>
    <m/>
    <m/>
    <x v="2"/>
    <m/>
    <m/>
    <m/>
    <m/>
    <m/>
    <m/>
    <x v="1"/>
    <x v="4"/>
    <x v="0"/>
    <x v="1"/>
    <x v="1"/>
    <x v="2"/>
    <x v="0"/>
    <x v="0"/>
    <x v="0"/>
    <x v="1"/>
    <x v="0"/>
    <x v="2"/>
    <x v="2"/>
    <x v="0"/>
    <x v="1"/>
    <x v="0"/>
    <x v="2"/>
    <x v="3"/>
    <x v="2"/>
    <x v="3"/>
    <x v="3"/>
    <x v="3"/>
    <x v="0"/>
    <x v="0"/>
    <x v="0"/>
    <x v="0"/>
  </r>
  <r>
    <m/>
    <x v="2"/>
    <x v="2"/>
    <x v="1"/>
    <m/>
    <m/>
    <m/>
    <x v="0"/>
    <m/>
    <x v="2"/>
    <m/>
    <m/>
    <m/>
    <m/>
    <m/>
    <m/>
    <m/>
    <m/>
    <m/>
    <m/>
    <m/>
    <m/>
    <x v="0"/>
    <x v="0"/>
    <x v="0"/>
    <m/>
    <m/>
    <x v="2"/>
    <m/>
    <m/>
    <m/>
    <m/>
    <m/>
    <m/>
    <x v="0"/>
    <x v="0"/>
    <x v="0"/>
    <x v="1"/>
    <x v="1"/>
    <x v="2"/>
    <x v="0"/>
    <x v="0"/>
    <x v="0"/>
    <x v="1"/>
    <x v="0"/>
    <x v="2"/>
    <x v="2"/>
    <x v="0"/>
    <x v="1"/>
    <x v="0"/>
    <x v="4"/>
    <x v="0"/>
    <x v="0"/>
    <x v="2"/>
    <x v="3"/>
    <x v="2"/>
    <x v="0"/>
    <x v="0"/>
    <x v="0"/>
    <x v="0"/>
  </r>
  <r>
    <m/>
    <x v="2"/>
    <x v="2"/>
    <x v="1"/>
    <m/>
    <m/>
    <m/>
    <x v="0"/>
    <m/>
    <x v="3"/>
    <m/>
    <m/>
    <m/>
    <m/>
    <m/>
    <m/>
    <m/>
    <m/>
    <m/>
    <m/>
    <m/>
    <m/>
    <x v="0"/>
    <x v="0"/>
    <x v="1"/>
    <m/>
    <m/>
    <x v="0"/>
    <m/>
    <m/>
    <m/>
    <m/>
    <m/>
    <m/>
    <x v="1"/>
    <x v="4"/>
    <x v="0"/>
    <x v="2"/>
    <x v="4"/>
    <x v="1"/>
    <x v="3"/>
    <x v="0"/>
    <x v="0"/>
    <x v="1"/>
    <x v="2"/>
    <x v="1"/>
    <x v="2"/>
    <x v="0"/>
    <x v="0"/>
    <x v="0"/>
    <x v="5"/>
    <x v="2"/>
    <x v="1"/>
    <x v="3"/>
    <x v="3"/>
    <x v="0"/>
    <x v="0"/>
    <x v="0"/>
    <x v="0"/>
    <x v="0"/>
  </r>
  <r>
    <m/>
    <x v="2"/>
    <x v="2"/>
    <x v="1"/>
    <m/>
    <m/>
    <m/>
    <x v="2"/>
    <m/>
    <x v="3"/>
    <m/>
    <m/>
    <m/>
    <m/>
    <m/>
    <m/>
    <m/>
    <m/>
    <m/>
    <m/>
    <m/>
    <m/>
    <x v="0"/>
    <x v="0"/>
    <x v="0"/>
    <m/>
    <m/>
    <x v="2"/>
    <m/>
    <m/>
    <m/>
    <m/>
    <m/>
    <m/>
    <x v="1"/>
    <x v="4"/>
    <x v="2"/>
    <x v="2"/>
    <x v="4"/>
    <x v="3"/>
    <x v="3"/>
    <x v="2"/>
    <x v="1"/>
    <x v="1"/>
    <x v="2"/>
    <x v="2"/>
    <x v="0"/>
    <x v="0"/>
    <x v="0"/>
    <x v="0"/>
    <x v="3"/>
    <x v="4"/>
    <x v="2"/>
    <x v="3"/>
    <x v="3"/>
    <x v="3"/>
    <x v="0"/>
    <x v="0"/>
    <x v="0"/>
    <x v="0"/>
  </r>
  <r>
    <m/>
    <x v="2"/>
    <x v="2"/>
    <x v="1"/>
    <m/>
    <m/>
    <m/>
    <x v="0"/>
    <m/>
    <x v="2"/>
    <m/>
    <m/>
    <m/>
    <m/>
    <m/>
    <m/>
    <m/>
    <m/>
    <m/>
    <m/>
    <m/>
    <m/>
    <x v="0"/>
    <x v="0"/>
    <x v="0"/>
    <m/>
    <m/>
    <x v="2"/>
    <m/>
    <m/>
    <m/>
    <m/>
    <m/>
    <m/>
    <x v="0"/>
    <x v="2"/>
    <x v="0"/>
    <x v="1"/>
    <x v="1"/>
    <x v="2"/>
    <x v="0"/>
    <x v="0"/>
    <x v="0"/>
    <x v="1"/>
    <x v="0"/>
    <x v="2"/>
    <x v="2"/>
    <x v="0"/>
    <x v="1"/>
    <x v="0"/>
    <x v="1"/>
    <x v="2"/>
    <x v="1"/>
    <x v="1"/>
    <x v="2"/>
    <x v="0"/>
    <x v="0"/>
    <x v="0"/>
    <x v="0"/>
    <x v="0"/>
  </r>
  <r>
    <m/>
    <x v="2"/>
    <x v="2"/>
    <x v="1"/>
    <m/>
    <m/>
    <m/>
    <x v="0"/>
    <m/>
    <x v="2"/>
    <m/>
    <m/>
    <m/>
    <m/>
    <m/>
    <m/>
    <m/>
    <m/>
    <m/>
    <m/>
    <m/>
    <m/>
    <x v="0"/>
    <x v="0"/>
    <x v="0"/>
    <m/>
    <m/>
    <x v="2"/>
    <m/>
    <m/>
    <m/>
    <m/>
    <m/>
    <m/>
    <x v="0"/>
    <x v="2"/>
    <x v="0"/>
    <x v="1"/>
    <x v="1"/>
    <x v="2"/>
    <x v="0"/>
    <x v="0"/>
    <x v="0"/>
    <x v="1"/>
    <x v="0"/>
    <x v="2"/>
    <x v="2"/>
    <x v="0"/>
    <x v="1"/>
    <x v="0"/>
    <x v="3"/>
    <x v="2"/>
    <x v="2"/>
    <x v="3"/>
    <x v="4"/>
    <x v="3"/>
    <x v="0"/>
    <x v="0"/>
    <x v="0"/>
    <x v="0"/>
  </r>
  <r>
    <m/>
    <x v="2"/>
    <x v="2"/>
    <x v="0"/>
    <m/>
    <m/>
    <m/>
    <x v="0"/>
    <m/>
    <x v="0"/>
    <m/>
    <m/>
    <m/>
    <m/>
    <m/>
    <m/>
    <m/>
    <m/>
    <m/>
    <m/>
    <m/>
    <m/>
    <x v="0"/>
    <x v="0"/>
    <x v="1"/>
    <m/>
    <m/>
    <x v="2"/>
    <m/>
    <m/>
    <m/>
    <m/>
    <m/>
    <m/>
    <x v="1"/>
    <x v="2"/>
    <x v="0"/>
    <x v="2"/>
    <x v="4"/>
    <x v="3"/>
    <x v="3"/>
    <x v="0"/>
    <x v="1"/>
    <x v="3"/>
    <x v="2"/>
    <x v="1"/>
    <x v="0"/>
    <x v="0"/>
    <x v="0"/>
    <x v="0"/>
    <x v="3"/>
    <x v="1"/>
    <x v="2"/>
    <x v="1"/>
    <x v="3"/>
    <x v="3"/>
    <x v="0"/>
    <x v="0"/>
    <x v="0"/>
    <x v="0"/>
  </r>
  <r>
    <m/>
    <x v="2"/>
    <x v="2"/>
    <x v="1"/>
    <m/>
    <m/>
    <m/>
    <x v="0"/>
    <m/>
    <x v="2"/>
    <m/>
    <m/>
    <m/>
    <m/>
    <m/>
    <m/>
    <m/>
    <m/>
    <m/>
    <m/>
    <m/>
    <m/>
    <x v="0"/>
    <x v="0"/>
    <x v="0"/>
    <m/>
    <m/>
    <x v="2"/>
    <m/>
    <m/>
    <m/>
    <m/>
    <m/>
    <m/>
    <x v="0"/>
    <x v="2"/>
    <x v="0"/>
    <x v="1"/>
    <x v="1"/>
    <x v="2"/>
    <x v="0"/>
    <x v="0"/>
    <x v="0"/>
    <x v="1"/>
    <x v="0"/>
    <x v="2"/>
    <x v="2"/>
    <x v="0"/>
    <x v="1"/>
    <x v="0"/>
    <x v="1"/>
    <x v="1"/>
    <x v="1"/>
    <x v="1"/>
    <x v="2"/>
    <x v="0"/>
    <x v="0"/>
    <x v="0"/>
    <x v="0"/>
    <x v="0"/>
  </r>
  <r>
    <m/>
    <x v="2"/>
    <x v="2"/>
    <x v="2"/>
    <m/>
    <m/>
    <m/>
    <x v="0"/>
    <m/>
    <x v="2"/>
    <m/>
    <m/>
    <m/>
    <m/>
    <m/>
    <m/>
    <m/>
    <m/>
    <m/>
    <m/>
    <m/>
    <m/>
    <x v="0"/>
    <x v="0"/>
    <x v="1"/>
    <m/>
    <m/>
    <x v="0"/>
    <m/>
    <m/>
    <m/>
    <m/>
    <m/>
    <m/>
    <x v="1"/>
    <x v="0"/>
    <x v="0"/>
    <x v="1"/>
    <x v="1"/>
    <x v="2"/>
    <x v="0"/>
    <x v="2"/>
    <x v="0"/>
    <x v="1"/>
    <x v="2"/>
    <x v="1"/>
    <x v="0"/>
    <x v="0"/>
    <x v="0"/>
    <x v="0"/>
    <x v="2"/>
    <x v="3"/>
    <x v="4"/>
    <x v="4"/>
    <x v="4"/>
    <x v="0"/>
    <x v="0"/>
    <x v="0"/>
    <x v="0"/>
    <x v="0"/>
  </r>
  <r>
    <m/>
    <x v="2"/>
    <x v="0"/>
    <x v="0"/>
    <m/>
    <m/>
    <m/>
    <x v="4"/>
    <m/>
    <x v="0"/>
    <m/>
    <m/>
    <m/>
    <m/>
    <m/>
    <m/>
    <m/>
    <m/>
    <m/>
    <m/>
    <m/>
    <m/>
    <x v="5"/>
    <x v="2"/>
    <x v="5"/>
    <m/>
    <m/>
    <x v="3"/>
    <m/>
    <m/>
    <m/>
    <m/>
    <m/>
    <m/>
    <x v="4"/>
    <x v="0"/>
    <x v="4"/>
    <x v="0"/>
    <x v="0"/>
    <x v="0"/>
    <x v="4"/>
    <x v="3"/>
    <x v="4"/>
    <x v="0"/>
    <x v="4"/>
    <x v="3"/>
    <x v="3"/>
    <x v="3"/>
    <x v="5"/>
    <x v="3"/>
    <x v="4"/>
    <x v="0"/>
    <x v="0"/>
    <x v="2"/>
    <x v="0"/>
    <x v="2"/>
    <x v="0"/>
    <x v="0"/>
    <x v="0"/>
    <x v="0"/>
  </r>
  <r>
    <m/>
    <x v="2"/>
    <x v="0"/>
    <x v="1"/>
    <m/>
    <m/>
    <m/>
    <x v="4"/>
    <m/>
    <x v="0"/>
    <m/>
    <m/>
    <m/>
    <m/>
    <m/>
    <m/>
    <m/>
    <m/>
    <m/>
    <m/>
    <m/>
    <m/>
    <x v="5"/>
    <x v="2"/>
    <x v="5"/>
    <m/>
    <m/>
    <x v="3"/>
    <m/>
    <m/>
    <m/>
    <m/>
    <m/>
    <m/>
    <x v="4"/>
    <x v="0"/>
    <x v="4"/>
    <x v="0"/>
    <x v="0"/>
    <x v="0"/>
    <x v="4"/>
    <x v="3"/>
    <x v="4"/>
    <x v="0"/>
    <x v="4"/>
    <x v="3"/>
    <x v="3"/>
    <x v="3"/>
    <x v="5"/>
    <x v="3"/>
    <x v="4"/>
    <x v="0"/>
    <x v="0"/>
    <x v="2"/>
    <x v="0"/>
    <x v="2"/>
    <x v="0"/>
    <x v="0"/>
    <x v="0"/>
    <x v="0"/>
  </r>
  <r>
    <m/>
    <x v="2"/>
    <x v="1"/>
    <x v="0"/>
    <m/>
    <m/>
    <m/>
    <x v="0"/>
    <m/>
    <x v="2"/>
    <m/>
    <m/>
    <m/>
    <m/>
    <m/>
    <m/>
    <m/>
    <m/>
    <m/>
    <m/>
    <m/>
    <m/>
    <x v="0"/>
    <x v="0"/>
    <x v="0"/>
    <m/>
    <m/>
    <x v="2"/>
    <m/>
    <m/>
    <m/>
    <m/>
    <m/>
    <m/>
    <x v="0"/>
    <x v="2"/>
    <x v="0"/>
    <x v="1"/>
    <x v="1"/>
    <x v="2"/>
    <x v="0"/>
    <x v="0"/>
    <x v="0"/>
    <x v="1"/>
    <x v="0"/>
    <x v="2"/>
    <x v="2"/>
    <x v="0"/>
    <x v="1"/>
    <x v="0"/>
    <x v="1"/>
    <x v="1"/>
    <x v="1"/>
    <x v="1"/>
    <x v="4"/>
    <x v="4"/>
    <x v="0"/>
    <x v="0"/>
    <x v="0"/>
    <x v="0"/>
  </r>
  <r>
    <m/>
    <x v="2"/>
    <x v="1"/>
    <x v="0"/>
    <m/>
    <m/>
    <m/>
    <x v="0"/>
    <m/>
    <x v="3"/>
    <m/>
    <m/>
    <m/>
    <m/>
    <m/>
    <m/>
    <m/>
    <m/>
    <m/>
    <m/>
    <m/>
    <m/>
    <x v="0"/>
    <x v="1"/>
    <x v="0"/>
    <m/>
    <m/>
    <x v="2"/>
    <m/>
    <m/>
    <m/>
    <m/>
    <m/>
    <m/>
    <x v="0"/>
    <x v="2"/>
    <x v="2"/>
    <x v="2"/>
    <x v="4"/>
    <x v="3"/>
    <x v="3"/>
    <x v="2"/>
    <x v="1"/>
    <x v="3"/>
    <x v="2"/>
    <x v="0"/>
    <x v="0"/>
    <x v="0"/>
    <x v="1"/>
    <x v="0"/>
    <x v="1"/>
    <x v="1"/>
    <x v="1"/>
    <x v="1"/>
    <x v="4"/>
    <x v="5"/>
    <x v="0"/>
    <x v="0"/>
    <x v="0"/>
    <x v="0"/>
  </r>
  <r>
    <m/>
    <x v="2"/>
    <x v="1"/>
    <x v="0"/>
    <m/>
    <m/>
    <m/>
    <x v="2"/>
    <m/>
    <x v="0"/>
    <m/>
    <m/>
    <m/>
    <m/>
    <m/>
    <m/>
    <m/>
    <m/>
    <m/>
    <m/>
    <m/>
    <m/>
    <x v="5"/>
    <x v="2"/>
    <x v="1"/>
    <m/>
    <m/>
    <x v="0"/>
    <m/>
    <m/>
    <m/>
    <m/>
    <m/>
    <m/>
    <x v="1"/>
    <x v="3"/>
    <x v="2"/>
    <x v="2"/>
    <x v="4"/>
    <x v="3"/>
    <x v="3"/>
    <x v="2"/>
    <x v="1"/>
    <x v="1"/>
    <x v="2"/>
    <x v="1"/>
    <x v="4"/>
    <x v="5"/>
    <x v="0"/>
    <x v="2"/>
    <x v="3"/>
    <x v="2"/>
    <x v="3"/>
    <x v="3"/>
    <x v="0"/>
    <x v="3"/>
    <x v="0"/>
    <x v="0"/>
    <x v="0"/>
    <x v="0"/>
  </r>
  <r>
    <m/>
    <x v="2"/>
    <x v="1"/>
    <x v="0"/>
    <m/>
    <m/>
    <m/>
    <x v="1"/>
    <m/>
    <x v="1"/>
    <m/>
    <m/>
    <m/>
    <m/>
    <m/>
    <m/>
    <m/>
    <m/>
    <m/>
    <m/>
    <m/>
    <m/>
    <x v="3"/>
    <x v="6"/>
    <x v="1"/>
    <m/>
    <m/>
    <x v="1"/>
    <m/>
    <m/>
    <m/>
    <m/>
    <m/>
    <m/>
    <x v="0"/>
    <x v="1"/>
    <x v="0"/>
    <x v="3"/>
    <x v="2"/>
    <x v="1"/>
    <x v="1"/>
    <x v="1"/>
    <x v="2"/>
    <x v="2"/>
    <x v="0"/>
    <x v="5"/>
    <x v="0"/>
    <x v="2"/>
    <x v="4"/>
    <x v="1"/>
    <x v="5"/>
    <x v="5"/>
    <x v="1"/>
    <x v="5"/>
    <x v="3"/>
    <x v="1"/>
    <x v="0"/>
    <x v="0"/>
    <x v="0"/>
    <x v="0"/>
  </r>
  <r>
    <m/>
    <x v="2"/>
    <x v="1"/>
    <x v="0"/>
    <m/>
    <m/>
    <m/>
    <x v="0"/>
    <m/>
    <x v="2"/>
    <m/>
    <m/>
    <m/>
    <m/>
    <m/>
    <m/>
    <m/>
    <m/>
    <m/>
    <m/>
    <m/>
    <m/>
    <x v="0"/>
    <x v="0"/>
    <x v="0"/>
    <m/>
    <m/>
    <x v="2"/>
    <m/>
    <m/>
    <m/>
    <m/>
    <m/>
    <m/>
    <x v="0"/>
    <x v="2"/>
    <x v="0"/>
    <x v="2"/>
    <x v="4"/>
    <x v="2"/>
    <x v="0"/>
    <x v="0"/>
    <x v="0"/>
    <x v="3"/>
    <x v="0"/>
    <x v="1"/>
    <x v="0"/>
    <x v="0"/>
    <x v="1"/>
    <x v="2"/>
    <x v="1"/>
    <x v="2"/>
    <x v="1"/>
    <x v="1"/>
    <x v="3"/>
    <x v="0"/>
    <x v="0"/>
    <x v="0"/>
    <x v="0"/>
    <x v="0"/>
  </r>
  <r>
    <m/>
    <x v="2"/>
    <x v="1"/>
    <x v="0"/>
    <m/>
    <m/>
    <m/>
    <x v="0"/>
    <m/>
    <x v="3"/>
    <m/>
    <m/>
    <m/>
    <m/>
    <m/>
    <m/>
    <m/>
    <m/>
    <m/>
    <m/>
    <m/>
    <m/>
    <x v="0"/>
    <x v="0"/>
    <x v="0"/>
    <m/>
    <m/>
    <x v="2"/>
    <m/>
    <m/>
    <m/>
    <m/>
    <m/>
    <m/>
    <x v="0"/>
    <x v="2"/>
    <x v="2"/>
    <x v="2"/>
    <x v="4"/>
    <x v="2"/>
    <x v="0"/>
    <x v="2"/>
    <x v="0"/>
    <x v="1"/>
    <x v="0"/>
    <x v="1"/>
    <x v="2"/>
    <x v="0"/>
    <x v="1"/>
    <x v="0"/>
    <x v="1"/>
    <x v="2"/>
    <x v="1"/>
    <x v="1"/>
    <x v="3"/>
    <x v="3"/>
    <x v="0"/>
    <x v="0"/>
    <x v="0"/>
    <x v="0"/>
  </r>
  <r>
    <m/>
    <x v="2"/>
    <x v="1"/>
    <x v="1"/>
    <m/>
    <m/>
    <m/>
    <x v="0"/>
    <m/>
    <x v="2"/>
    <m/>
    <m/>
    <m/>
    <m/>
    <m/>
    <m/>
    <m/>
    <m/>
    <m/>
    <m/>
    <m/>
    <m/>
    <x v="0"/>
    <x v="0"/>
    <x v="0"/>
    <m/>
    <m/>
    <x v="0"/>
    <m/>
    <m/>
    <m/>
    <m/>
    <m/>
    <m/>
    <x v="0"/>
    <x v="0"/>
    <x v="4"/>
    <x v="1"/>
    <x v="1"/>
    <x v="3"/>
    <x v="3"/>
    <x v="3"/>
    <x v="1"/>
    <x v="0"/>
    <x v="4"/>
    <x v="1"/>
    <x v="3"/>
    <x v="0"/>
    <x v="1"/>
    <x v="2"/>
    <x v="1"/>
    <x v="1"/>
    <x v="1"/>
    <x v="3"/>
    <x v="0"/>
    <x v="3"/>
    <x v="0"/>
    <x v="0"/>
    <x v="0"/>
    <x v="0"/>
  </r>
  <r>
    <m/>
    <x v="2"/>
    <x v="1"/>
    <x v="0"/>
    <m/>
    <m/>
    <m/>
    <x v="0"/>
    <m/>
    <x v="1"/>
    <m/>
    <m/>
    <m/>
    <m/>
    <m/>
    <m/>
    <m/>
    <m/>
    <m/>
    <m/>
    <m/>
    <m/>
    <x v="3"/>
    <x v="6"/>
    <x v="0"/>
    <m/>
    <m/>
    <x v="1"/>
    <m/>
    <m/>
    <m/>
    <m/>
    <m/>
    <m/>
    <x v="0"/>
    <x v="1"/>
    <x v="1"/>
    <x v="3"/>
    <x v="2"/>
    <x v="1"/>
    <x v="1"/>
    <x v="1"/>
    <x v="2"/>
    <x v="2"/>
    <x v="0"/>
    <x v="5"/>
    <x v="1"/>
    <x v="0"/>
    <x v="4"/>
    <x v="1"/>
    <x v="5"/>
    <x v="5"/>
    <x v="5"/>
    <x v="1"/>
    <x v="2"/>
    <x v="1"/>
    <x v="0"/>
    <x v="0"/>
    <x v="0"/>
    <x v="0"/>
  </r>
  <r>
    <m/>
    <x v="2"/>
    <x v="1"/>
    <x v="0"/>
    <m/>
    <m/>
    <m/>
    <x v="0"/>
    <m/>
    <x v="2"/>
    <m/>
    <m/>
    <m/>
    <m/>
    <m/>
    <m/>
    <m/>
    <m/>
    <m/>
    <m/>
    <m/>
    <m/>
    <x v="0"/>
    <x v="0"/>
    <x v="1"/>
    <m/>
    <m/>
    <x v="2"/>
    <m/>
    <m/>
    <m/>
    <m/>
    <m/>
    <m/>
    <x v="1"/>
    <x v="2"/>
    <x v="0"/>
    <x v="1"/>
    <x v="1"/>
    <x v="3"/>
    <x v="3"/>
    <x v="0"/>
    <x v="0"/>
    <x v="1"/>
    <x v="2"/>
    <x v="1"/>
    <x v="2"/>
    <x v="0"/>
    <x v="0"/>
    <x v="0"/>
    <x v="1"/>
    <x v="1"/>
    <x v="2"/>
    <x v="1"/>
    <x v="3"/>
    <x v="3"/>
    <x v="0"/>
    <x v="0"/>
    <x v="0"/>
    <x v="0"/>
  </r>
  <r>
    <m/>
    <x v="2"/>
    <x v="1"/>
    <x v="0"/>
    <m/>
    <m/>
    <m/>
    <x v="0"/>
    <m/>
    <x v="2"/>
    <m/>
    <m/>
    <m/>
    <m/>
    <m/>
    <m/>
    <m/>
    <m/>
    <m/>
    <m/>
    <m/>
    <m/>
    <x v="0"/>
    <x v="0"/>
    <x v="0"/>
    <m/>
    <m/>
    <x v="2"/>
    <m/>
    <m/>
    <m/>
    <m/>
    <m/>
    <m/>
    <x v="0"/>
    <x v="2"/>
    <x v="0"/>
    <x v="1"/>
    <x v="1"/>
    <x v="2"/>
    <x v="0"/>
    <x v="0"/>
    <x v="0"/>
    <x v="1"/>
    <x v="0"/>
    <x v="2"/>
    <x v="2"/>
    <x v="0"/>
    <x v="0"/>
    <x v="0"/>
    <x v="0"/>
    <x v="2"/>
    <x v="1"/>
    <x v="1"/>
    <x v="2"/>
    <x v="0"/>
    <x v="0"/>
    <x v="0"/>
    <x v="0"/>
    <x v="0"/>
  </r>
  <r>
    <m/>
    <x v="2"/>
    <x v="1"/>
    <x v="1"/>
    <m/>
    <m/>
    <m/>
    <x v="2"/>
    <m/>
    <x v="3"/>
    <m/>
    <m/>
    <m/>
    <m/>
    <m/>
    <m/>
    <m/>
    <m/>
    <m/>
    <m/>
    <m/>
    <m/>
    <x v="0"/>
    <x v="0"/>
    <x v="0"/>
    <m/>
    <m/>
    <x v="2"/>
    <m/>
    <m/>
    <m/>
    <m/>
    <m/>
    <m/>
    <x v="0"/>
    <x v="2"/>
    <x v="0"/>
    <x v="1"/>
    <x v="1"/>
    <x v="3"/>
    <x v="0"/>
    <x v="0"/>
    <x v="0"/>
    <x v="1"/>
    <x v="0"/>
    <x v="1"/>
    <x v="2"/>
    <x v="0"/>
    <x v="0"/>
    <x v="0"/>
    <x v="3"/>
    <x v="1"/>
    <x v="1"/>
    <x v="1"/>
    <x v="3"/>
    <x v="0"/>
    <x v="0"/>
    <x v="0"/>
    <x v="0"/>
    <x v="0"/>
  </r>
  <r>
    <m/>
    <x v="2"/>
    <x v="1"/>
    <x v="1"/>
    <m/>
    <m/>
    <m/>
    <x v="2"/>
    <m/>
    <x v="3"/>
    <m/>
    <m/>
    <m/>
    <m/>
    <m/>
    <m/>
    <m/>
    <m/>
    <m/>
    <m/>
    <m/>
    <m/>
    <x v="0"/>
    <x v="0"/>
    <x v="1"/>
    <m/>
    <m/>
    <x v="2"/>
    <m/>
    <m/>
    <m/>
    <m/>
    <m/>
    <m/>
    <x v="1"/>
    <x v="5"/>
    <x v="2"/>
    <x v="2"/>
    <x v="4"/>
    <x v="3"/>
    <x v="0"/>
    <x v="2"/>
    <x v="1"/>
    <x v="0"/>
    <x v="2"/>
    <x v="0"/>
    <x v="3"/>
    <x v="1"/>
    <x v="2"/>
    <x v="0"/>
    <x v="1"/>
    <x v="1"/>
    <x v="1"/>
    <x v="3"/>
    <x v="3"/>
    <x v="3"/>
    <x v="0"/>
    <x v="0"/>
    <x v="0"/>
    <x v="0"/>
  </r>
  <r>
    <m/>
    <x v="2"/>
    <x v="1"/>
    <x v="1"/>
    <m/>
    <m/>
    <m/>
    <x v="2"/>
    <m/>
    <x v="3"/>
    <m/>
    <m/>
    <m/>
    <m/>
    <m/>
    <m/>
    <m/>
    <m/>
    <m/>
    <m/>
    <m/>
    <m/>
    <x v="0"/>
    <x v="0"/>
    <x v="1"/>
    <m/>
    <m/>
    <x v="2"/>
    <m/>
    <m/>
    <m/>
    <m/>
    <m/>
    <m/>
    <x v="1"/>
    <x v="3"/>
    <x v="5"/>
    <x v="5"/>
    <x v="5"/>
    <x v="3"/>
    <x v="5"/>
    <x v="5"/>
    <x v="3"/>
    <x v="5"/>
    <x v="4"/>
    <x v="4"/>
    <x v="0"/>
    <x v="4"/>
    <x v="3"/>
    <x v="2"/>
    <x v="0"/>
    <x v="0"/>
    <x v="1"/>
    <x v="1"/>
    <x v="4"/>
    <x v="5"/>
    <x v="0"/>
    <x v="0"/>
    <x v="0"/>
    <x v="0"/>
  </r>
  <r>
    <m/>
    <x v="2"/>
    <x v="1"/>
    <x v="1"/>
    <m/>
    <m/>
    <m/>
    <x v="0"/>
    <m/>
    <x v="3"/>
    <m/>
    <m/>
    <m/>
    <m/>
    <m/>
    <m/>
    <m/>
    <m/>
    <m/>
    <m/>
    <m/>
    <m/>
    <x v="0"/>
    <x v="0"/>
    <x v="0"/>
    <m/>
    <m/>
    <x v="2"/>
    <m/>
    <m/>
    <m/>
    <m/>
    <m/>
    <m/>
    <x v="0"/>
    <x v="4"/>
    <x v="2"/>
    <x v="2"/>
    <x v="1"/>
    <x v="2"/>
    <x v="2"/>
    <x v="2"/>
    <x v="1"/>
    <x v="3"/>
    <x v="4"/>
    <x v="1"/>
    <x v="0"/>
    <x v="0"/>
    <x v="2"/>
    <x v="2"/>
    <x v="3"/>
    <x v="2"/>
    <x v="1"/>
    <x v="1"/>
    <x v="3"/>
    <x v="3"/>
    <x v="0"/>
    <x v="0"/>
    <x v="0"/>
    <x v="0"/>
  </r>
  <r>
    <m/>
    <x v="2"/>
    <x v="1"/>
    <x v="0"/>
    <m/>
    <m/>
    <m/>
    <x v="0"/>
    <m/>
    <x v="2"/>
    <m/>
    <m/>
    <m/>
    <m/>
    <m/>
    <m/>
    <m/>
    <m/>
    <m/>
    <m/>
    <m/>
    <m/>
    <x v="0"/>
    <x v="0"/>
    <x v="0"/>
    <m/>
    <m/>
    <x v="2"/>
    <m/>
    <m/>
    <m/>
    <m/>
    <m/>
    <m/>
    <x v="0"/>
    <x v="2"/>
    <x v="0"/>
    <x v="1"/>
    <x v="4"/>
    <x v="2"/>
    <x v="0"/>
    <x v="0"/>
    <x v="0"/>
    <x v="1"/>
    <x v="0"/>
    <x v="1"/>
    <x v="0"/>
    <x v="0"/>
    <x v="0"/>
    <x v="0"/>
    <x v="3"/>
    <x v="1"/>
    <x v="1"/>
    <x v="1"/>
    <x v="4"/>
    <x v="3"/>
    <x v="0"/>
    <x v="0"/>
    <x v="0"/>
    <x v="0"/>
  </r>
  <r>
    <m/>
    <x v="2"/>
    <x v="1"/>
    <x v="2"/>
    <m/>
    <m/>
    <m/>
    <x v="0"/>
    <m/>
    <x v="0"/>
    <m/>
    <m/>
    <m/>
    <m/>
    <m/>
    <m/>
    <m/>
    <m/>
    <m/>
    <m/>
    <m/>
    <m/>
    <x v="0"/>
    <x v="0"/>
    <x v="0"/>
    <m/>
    <m/>
    <x v="2"/>
    <m/>
    <m/>
    <m/>
    <m/>
    <m/>
    <m/>
    <x v="0"/>
    <x v="3"/>
    <x v="2"/>
    <x v="0"/>
    <x v="4"/>
    <x v="3"/>
    <x v="3"/>
    <x v="0"/>
    <x v="4"/>
    <x v="5"/>
    <x v="2"/>
    <x v="4"/>
    <x v="2"/>
    <x v="0"/>
    <x v="2"/>
    <x v="0"/>
    <x v="3"/>
    <x v="1"/>
    <x v="2"/>
    <x v="3"/>
    <x v="4"/>
    <x v="3"/>
    <x v="0"/>
    <x v="0"/>
    <x v="0"/>
    <x v="0"/>
  </r>
  <r>
    <m/>
    <x v="2"/>
    <x v="4"/>
    <x v="1"/>
    <m/>
    <m/>
    <m/>
    <x v="0"/>
    <m/>
    <x v="2"/>
    <m/>
    <m/>
    <m/>
    <m/>
    <m/>
    <m/>
    <m/>
    <m/>
    <m/>
    <m/>
    <m/>
    <m/>
    <x v="0"/>
    <x v="0"/>
    <x v="0"/>
    <m/>
    <m/>
    <x v="0"/>
    <m/>
    <m/>
    <m/>
    <m/>
    <m/>
    <m/>
    <x v="1"/>
    <x v="4"/>
    <x v="0"/>
    <x v="2"/>
    <x v="1"/>
    <x v="2"/>
    <x v="0"/>
    <x v="0"/>
    <x v="1"/>
    <x v="1"/>
    <x v="0"/>
    <x v="2"/>
    <x v="0"/>
    <x v="0"/>
    <x v="0"/>
    <x v="2"/>
    <x v="3"/>
    <x v="2"/>
    <x v="2"/>
    <x v="1"/>
    <x v="4"/>
    <x v="5"/>
    <x v="0"/>
    <x v="0"/>
    <x v="0"/>
    <x v="0"/>
  </r>
  <r>
    <m/>
    <x v="2"/>
    <x v="4"/>
    <x v="1"/>
    <m/>
    <m/>
    <m/>
    <x v="0"/>
    <m/>
    <x v="2"/>
    <m/>
    <m/>
    <m/>
    <m/>
    <m/>
    <m/>
    <m/>
    <m/>
    <m/>
    <m/>
    <m/>
    <m/>
    <x v="0"/>
    <x v="0"/>
    <x v="0"/>
    <m/>
    <m/>
    <x v="2"/>
    <m/>
    <m/>
    <m/>
    <m/>
    <m/>
    <m/>
    <x v="0"/>
    <x v="2"/>
    <x v="0"/>
    <x v="1"/>
    <x v="1"/>
    <x v="2"/>
    <x v="0"/>
    <x v="0"/>
    <x v="0"/>
    <x v="1"/>
    <x v="2"/>
    <x v="4"/>
    <x v="0"/>
    <x v="0"/>
    <x v="2"/>
    <x v="0"/>
    <x v="1"/>
    <x v="1"/>
    <x v="2"/>
    <x v="3"/>
    <x v="3"/>
    <x v="2"/>
    <x v="0"/>
    <x v="0"/>
    <x v="0"/>
    <x v="0"/>
  </r>
  <r>
    <m/>
    <x v="2"/>
    <x v="4"/>
    <x v="1"/>
    <m/>
    <m/>
    <m/>
    <x v="2"/>
    <m/>
    <x v="3"/>
    <m/>
    <m/>
    <m/>
    <m/>
    <m/>
    <m/>
    <m/>
    <m/>
    <m/>
    <m/>
    <m/>
    <m/>
    <x v="2"/>
    <x v="3"/>
    <x v="1"/>
    <m/>
    <m/>
    <x v="2"/>
    <m/>
    <m/>
    <m/>
    <m/>
    <m/>
    <m/>
    <x v="0"/>
    <x v="2"/>
    <x v="0"/>
    <x v="1"/>
    <x v="4"/>
    <x v="2"/>
    <x v="1"/>
    <x v="0"/>
    <x v="0"/>
    <x v="3"/>
    <x v="3"/>
    <x v="2"/>
    <x v="0"/>
    <x v="0"/>
    <x v="2"/>
    <x v="0"/>
    <x v="1"/>
    <x v="1"/>
    <x v="2"/>
    <x v="1"/>
    <x v="3"/>
    <x v="0"/>
    <x v="0"/>
    <x v="0"/>
    <x v="0"/>
    <x v="0"/>
  </r>
  <r>
    <m/>
    <x v="2"/>
    <x v="4"/>
    <x v="1"/>
    <m/>
    <m/>
    <m/>
    <x v="1"/>
    <m/>
    <x v="1"/>
    <m/>
    <m/>
    <m/>
    <m/>
    <m/>
    <m/>
    <m/>
    <m/>
    <m/>
    <m/>
    <m/>
    <m/>
    <x v="3"/>
    <x v="6"/>
    <x v="3"/>
    <m/>
    <m/>
    <x v="5"/>
    <m/>
    <m/>
    <m/>
    <m/>
    <m/>
    <m/>
    <x v="1"/>
    <x v="4"/>
    <x v="1"/>
    <x v="4"/>
    <x v="4"/>
    <x v="3"/>
    <x v="3"/>
    <x v="2"/>
    <x v="1"/>
    <x v="2"/>
    <x v="1"/>
    <x v="5"/>
    <x v="1"/>
    <x v="2"/>
    <x v="4"/>
    <x v="1"/>
    <x v="3"/>
    <x v="4"/>
    <x v="5"/>
    <x v="5"/>
    <x v="3"/>
    <x v="3"/>
    <x v="0"/>
    <x v="0"/>
    <x v="0"/>
    <x v="0"/>
  </r>
  <r>
    <m/>
    <x v="2"/>
    <x v="4"/>
    <x v="1"/>
    <m/>
    <m/>
    <m/>
    <x v="2"/>
    <m/>
    <x v="3"/>
    <m/>
    <m/>
    <m/>
    <m/>
    <m/>
    <m/>
    <m/>
    <m/>
    <m/>
    <m/>
    <m/>
    <m/>
    <x v="2"/>
    <x v="1"/>
    <x v="0"/>
    <m/>
    <m/>
    <x v="2"/>
    <m/>
    <m/>
    <m/>
    <m/>
    <m/>
    <m/>
    <x v="1"/>
    <x v="2"/>
    <x v="2"/>
    <x v="2"/>
    <x v="4"/>
    <x v="2"/>
    <x v="3"/>
    <x v="2"/>
    <x v="0"/>
    <x v="1"/>
    <x v="2"/>
    <x v="3"/>
    <x v="2"/>
    <x v="0"/>
    <x v="1"/>
    <x v="0"/>
    <x v="1"/>
    <x v="1"/>
    <x v="1"/>
    <x v="1"/>
    <x v="2"/>
    <x v="2"/>
    <x v="0"/>
    <x v="0"/>
    <x v="0"/>
    <x v="0"/>
  </r>
  <r>
    <m/>
    <x v="2"/>
    <x v="4"/>
    <x v="1"/>
    <m/>
    <m/>
    <m/>
    <x v="0"/>
    <m/>
    <x v="0"/>
    <m/>
    <m/>
    <m/>
    <m/>
    <m/>
    <m/>
    <m/>
    <m/>
    <m/>
    <m/>
    <m/>
    <m/>
    <x v="2"/>
    <x v="0"/>
    <x v="1"/>
    <m/>
    <m/>
    <x v="2"/>
    <m/>
    <m/>
    <m/>
    <m/>
    <m/>
    <m/>
    <x v="1"/>
    <x v="2"/>
    <x v="2"/>
    <x v="4"/>
    <x v="4"/>
    <x v="3"/>
    <x v="3"/>
    <x v="0"/>
    <x v="4"/>
    <x v="0"/>
    <x v="0"/>
    <x v="3"/>
    <x v="2"/>
    <x v="4"/>
    <x v="3"/>
    <x v="0"/>
    <x v="1"/>
    <x v="1"/>
    <x v="2"/>
    <x v="1"/>
    <x v="2"/>
    <x v="2"/>
    <x v="0"/>
    <x v="0"/>
    <x v="0"/>
    <x v="0"/>
  </r>
  <r>
    <m/>
    <x v="2"/>
    <x v="0"/>
    <x v="0"/>
    <m/>
    <m/>
    <m/>
    <x v="0"/>
    <m/>
    <x v="3"/>
    <m/>
    <m/>
    <m/>
    <m/>
    <m/>
    <m/>
    <m/>
    <m/>
    <m/>
    <m/>
    <m/>
    <m/>
    <x v="2"/>
    <x v="1"/>
    <x v="2"/>
    <m/>
    <m/>
    <x v="2"/>
    <m/>
    <m/>
    <m/>
    <m/>
    <m/>
    <m/>
    <x v="2"/>
    <x v="5"/>
    <x v="2"/>
    <x v="1"/>
    <x v="4"/>
    <x v="2"/>
    <x v="0"/>
    <x v="0"/>
    <x v="0"/>
    <x v="3"/>
    <x v="5"/>
    <x v="0"/>
    <x v="0"/>
    <x v="0"/>
    <x v="1"/>
    <x v="0"/>
    <x v="2"/>
    <x v="0"/>
    <x v="1"/>
    <x v="1"/>
    <x v="5"/>
    <x v="0"/>
    <x v="0"/>
    <x v="0"/>
    <x v="0"/>
    <x v="0"/>
  </r>
  <r>
    <m/>
    <x v="2"/>
    <x v="0"/>
    <x v="1"/>
    <m/>
    <m/>
    <m/>
    <x v="0"/>
    <m/>
    <x v="3"/>
    <m/>
    <m/>
    <m/>
    <m/>
    <m/>
    <m/>
    <m/>
    <m/>
    <m/>
    <m/>
    <m/>
    <m/>
    <x v="5"/>
    <x v="0"/>
    <x v="0"/>
    <m/>
    <m/>
    <x v="0"/>
    <m/>
    <m/>
    <m/>
    <m/>
    <m/>
    <m/>
    <x v="0"/>
    <x v="4"/>
    <x v="0"/>
    <x v="4"/>
    <x v="1"/>
    <x v="2"/>
    <x v="0"/>
    <x v="4"/>
    <x v="0"/>
    <x v="1"/>
    <x v="0"/>
    <x v="2"/>
    <x v="2"/>
    <x v="0"/>
    <x v="2"/>
    <x v="0"/>
    <x v="3"/>
    <x v="1"/>
    <x v="1"/>
    <x v="2"/>
    <x v="5"/>
    <x v="3"/>
    <x v="0"/>
    <x v="0"/>
    <x v="0"/>
    <x v="0"/>
  </r>
  <r>
    <m/>
    <x v="2"/>
    <x v="0"/>
    <x v="1"/>
    <m/>
    <m/>
    <m/>
    <x v="0"/>
    <m/>
    <x v="5"/>
    <m/>
    <m/>
    <m/>
    <m/>
    <m/>
    <m/>
    <m/>
    <m/>
    <m/>
    <m/>
    <m/>
    <m/>
    <x v="0"/>
    <x v="2"/>
    <x v="5"/>
    <m/>
    <m/>
    <x v="2"/>
    <m/>
    <m/>
    <m/>
    <m/>
    <m/>
    <m/>
    <x v="1"/>
    <x v="2"/>
    <x v="0"/>
    <x v="5"/>
    <x v="1"/>
    <x v="2"/>
    <x v="0"/>
    <x v="0"/>
    <x v="0"/>
    <x v="1"/>
    <x v="0"/>
    <x v="2"/>
    <x v="2"/>
    <x v="1"/>
    <x v="3"/>
    <x v="3"/>
    <x v="3"/>
    <x v="3"/>
    <x v="1"/>
    <x v="2"/>
    <x v="5"/>
    <x v="0"/>
    <x v="0"/>
    <x v="0"/>
    <x v="0"/>
    <x v="0"/>
  </r>
  <r>
    <m/>
    <x v="2"/>
    <x v="0"/>
    <x v="1"/>
    <m/>
    <m/>
    <m/>
    <x v="0"/>
    <m/>
    <x v="2"/>
    <m/>
    <m/>
    <m/>
    <m/>
    <m/>
    <m/>
    <m/>
    <m/>
    <m/>
    <m/>
    <m/>
    <m/>
    <x v="0"/>
    <x v="0"/>
    <x v="0"/>
    <m/>
    <m/>
    <x v="2"/>
    <m/>
    <m/>
    <m/>
    <m/>
    <m/>
    <m/>
    <x v="0"/>
    <x v="4"/>
    <x v="2"/>
    <x v="2"/>
    <x v="4"/>
    <x v="3"/>
    <x v="0"/>
    <x v="5"/>
    <x v="1"/>
    <x v="1"/>
    <x v="0"/>
    <x v="1"/>
    <x v="2"/>
    <x v="0"/>
    <x v="2"/>
    <x v="0"/>
    <x v="2"/>
    <x v="1"/>
    <x v="1"/>
    <x v="2"/>
    <x v="4"/>
    <x v="3"/>
    <x v="0"/>
    <x v="0"/>
    <x v="0"/>
    <x v="0"/>
  </r>
  <r>
    <m/>
    <x v="2"/>
    <x v="0"/>
    <x v="2"/>
    <m/>
    <m/>
    <m/>
    <x v="0"/>
    <m/>
    <x v="2"/>
    <m/>
    <m/>
    <m/>
    <m/>
    <m/>
    <m/>
    <m/>
    <m/>
    <m/>
    <m/>
    <m/>
    <m/>
    <x v="4"/>
    <x v="3"/>
    <x v="1"/>
    <m/>
    <m/>
    <x v="0"/>
    <m/>
    <m/>
    <m/>
    <m/>
    <m/>
    <m/>
    <x v="0"/>
    <x v="4"/>
    <x v="0"/>
    <x v="1"/>
    <x v="4"/>
    <x v="2"/>
    <x v="3"/>
    <x v="0"/>
    <x v="0"/>
    <x v="1"/>
    <x v="0"/>
    <x v="1"/>
    <x v="0"/>
    <x v="0"/>
    <x v="0"/>
    <x v="0"/>
    <x v="3"/>
    <x v="2"/>
    <x v="2"/>
    <x v="3"/>
    <x v="3"/>
    <x v="0"/>
    <x v="0"/>
    <x v="0"/>
    <x v="0"/>
    <x v="0"/>
  </r>
  <r>
    <m/>
    <x v="2"/>
    <x v="0"/>
    <x v="0"/>
    <m/>
    <m/>
    <m/>
    <x v="0"/>
    <m/>
    <x v="2"/>
    <m/>
    <m/>
    <m/>
    <m/>
    <m/>
    <m/>
    <m/>
    <m/>
    <m/>
    <m/>
    <m/>
    <m/>
    <x v="4"/>
    <x v="0"/>
    <x v="0"/>
    <m/>
    <m/>
    <x v="2"/>
    <m/>
    <m/>
    <m/>
    <m/>
    <m/>
    <m/>
    <x v="0"/>
    <x v="2"/>
    <x v="0"/>
    <x v="1"/>
    <x v="1"/>
    <x v="2"/>
    <x v="0"/>
    <x v="0"/>
    <x v="0"/>
    <x v="1"/>
    <x v="0"/>
    <x v="2"/>
    <x v="2"/>
    <x v="0"/>
    <x v="1"/>
    <x v="2"/>
    <x v="1"/>
    <x v="1"/>
    <x v="1"/>
    <x v="1"/>
    <x v="2"/>
    <x v="0"/>
    <x v="0"/>
    <x v="0"/>
    <x v="0"/>
    <x v="0"/>
  </r>
  <r>
    <m/>
    <x v="2"/>
    <x v="4"/>
    <x v="1"/>
    <m/>
    <m/>
    <m/>
    <x v="0"/>
    <m/>
    <x v="2"/>
    <m/>
    <m/>
    <m/>
    <m/>
    <m/>
    <m/>
    <m/>
    <m/>
    <m/>
    <m/>
    <m/>
    <m/>
    <x v="0"/>
    <x v="0"/>
    <x v="0"/>
    <m/>
    <m/>
    <x v="2"/>
    <m/>
    <m/>
    <m/>
    <m/>
    <m/>
    <m/>
    <x v="0"/>
    <x v="3"/>
    <x v="0"/>
    <x v="1"/>
    <x v="1"/>
    <x v="2"/>
    <x v="0"/>
    <x v="0"/>
    <x v="0"/>
    <x v="1"/>
    <x v="0"/>
    <x v="2"/>
    <x v="2"/>
    <x v="0"/>
    <x v="1"/>
    <x v="1"/>
    <x v="2"/>
    <x v="1"/>
    <x v="1"/>
    <x v="1"/>
    <x v="5"/>
    <x v="2"/>
    <x v="0"/>
    <x v="0"/>
    <x v="0"/>
    <x v="0"/>
  </r>
  <r>
    <m/>
    <x v="2"/>
    <x v="4"/>
    <x v="1"/>
    <m/>
    <m/>
    <m/>
    <x v="5"/>
    <m/>
    <x v="5"/>
    <m/>
    <m/>
    <m/>
    <m/>
    <m/>
    <m/>
    <m/>
    <m/>
    <m/>
    <m/>
    <m/>
    <m/>
    <x v="2"/>
    <x v="1"/>
    <x v="2"/>
    <m/>
    <m/>
    <x v="5"/>
    <m/>
    <m/>
    <m/>
    <m/>
    <m/>
    <m/>
    <x v="3"/>
    <x v="3"/>
    <x v="3"/>
    <x v="1"/>
    <x v="1"/>
    <x v="5"/>
    <x v="2"/>
    <x v="0"/>
    <x v="3"/>
    <x v="0"/>
    <x v="3"/>
    <x v="4"/>
    <x v="4"/>
    <x v="5"/>
    <x v="3"/>
    <x v="4"/>
    <x v="2"/>
    <x v="3"/>
    <x v="4"/>
    <x v="4"/>
    <x v="5"/>
    <x v="4"/>
    <x v="0"/>
    <x v="0"/>
    <x v="0"/>
    <x v="0"/>
  </r>
  <r>
    <m/>
    <x v="2"/>
    <x v="1"/>
    <x v="1"/>
    <m/>
    <m/>
    <m/>
    <x v="1"/>
    <m/>
    <x v="1"/>
    <m/>
    <m/>
    <m/>
    <m/>
    <m/>
    <m/>
    <m/>
    <m/>
    <m/>
    <m/>
    <m/>
    <m/>
    <x v="3"/>
    <x v="6"/>
    <x v="1"/>
    <m/>
    <m/>
    <x v="1"/>
    <m/>
    <m/>
    <m/>
    <m/>
    <m/>
    <m/>
    <x v="1"/>
    <x v="1"/>
    <x v="1"/>
    <x v="2"/>
    <x v="2"/>
    <x v="1"/>
    <x v="3"/>
    <x v="1"/>
    <x v="2"/>
    <x v="2"/>
    <x v="1"/>
    <x v="5"/>
    <x v="1"/>
    <x v="1"/>
    <x v="4"/>
    <x v="1"/>
    <x v="5"/>
    <x v="5"/>
    <x v="2"/>
    <x v="5"/>
    <x v="3"/>
    <x v="0"/>
    <x v="0"/>
    <x v="0"/>
    <x v="0"/>
    <x v="0"/>
  </r>
  <r>
    <m/>
    <x v="2"/>
    <x v="1"/>
    <x v="1"/>
    <m/>
    <m/>
    <m/>
    <x v="0"/>
    <m/>
    <x v="2"/>
    <m/>
    <m/>
    <m/>
    <m/>
    <m/>
    <m/>
    <m/>
    <m/>
    <m/>
    <m/>
    <m/>
    <m/>
    <x v="0"/>
    <x v="0"/>
    <x v="0"/>
    <m/>
    <m/>
    <x v="2"/>
    <m/>
    <m/>
    <m/>
    <m/>
    <m/>
    <m/>
    <x v="0"/>
    <x v="2"/>
    <x v="0"/>
    <x v="1"/>
    <x v="1"/>
    <x v="2"/>
    <x v="0"/>
    <x v="0"/>
    <x v="0"/>
    <x v="1"/>
    <x v="0"/>
    <x v="2"/>
    <x v="2"/>
    <x v="0"/>
    <x v="1"/>
    <x v="0"/>
    <x v="1"/>
    <x v="1"/>
    <x v="1"/>
    <x v="1"/>
    <x v="2"/>
    <x v="0"/>
    <x v="0"/>
    <x v="0"/>
    <x v="0"/>
    <x v="0"/>
  </r>
  <r>
    <m/>
    <x v="2"/>
    <x v="1"/>
    <x v="1"/>
    <m/>
    <m/>
    <m/>
    <x v="0"/>
    <m/>
    <x v="3"/>
    <m/>
    <m/>
    <m/>
    <m/>
    <m/>
    <m/>
    <m/>
    <m/>
    <m/>
    <m/>
    <m/>
    <m/>
    <x v="0"/>
    <x v="0"/>
    <x v="0"/>
    <m/>
    <m/>
    <x v="2"/>
    <m/>
    <m/>
    <m/>
    <m/>
    <m/>
    <m/>
    <x v="0"/>
    <x v="2"/>
    <x v="0"/>
    <x v="0"/>
    <x v="4"/>
    <x v="3"/>
    <x v="0"/>
    <x v="0"/>
    <x v="0"/>
    <x v="1"/>
    <x v="0"/>
    <x v="1"/>
    <x v="2"/>
    <x v="0"/>
    <x v="0"/>
    <x v="0"/>
    <x v="3"/>
    <x v="1"/>
    <x v="1"/>
    <x v="1"/>
    <x v="5"/>
    <x v="2"/>
    <x v="0"/>
    <x v="0"/>
    <x v="0"/>
    <x v="0"/>
  </r>
  <r>
    <m/>
    <x v="2"/>
    <x v="1"/>
    <x v="0"/>
    <m/>
    <m/>
    <m/>
    <x v="1"/>
    <m/>
    <x v="1"/>
    <m/>
    <m/>
    <m/>
    <m/>
    <m/>
    <m/>
    <m/>
    <m/>
    <m/>
    <m/>
    <m/>
    <m/>
    <x v="3"/>
    <x v="6"/>
    <x v="3"/>
    <m/>
    <m/>
    <x v="1"/>
    <m/>
    <m/>
    <m/>
    <m/>
    <m/>
    <m/>
    <x v="5"/>
    <x v="1"/>
    <x v="1"/>
    <x v="3"/>
    <x v="2"/>
    <x v="1"/>
    <x v="1"/>
    <x v="1"/>
    <x v="2"/>
    <x v="2"/>
    <x v="1"/>
    <x v="5"/>
    <x v="1"/>
    <x v="2"/>
    <x v="4"/>
    <x v="1"/>
    <x v="5"/>
    <x v="5"/>
    <x v="5"/>
    <x v="5"/>
    <x v="1"/>
    <x v="1"/>
    <x v="0"/>
    <x v="0"/>
    <x v="0"/>
    <x v="0"/>
  </r>
  <r>
    <m/>
    <x v="2"/>
    <x v="1"/>
    <x v="1"/>
    <m/>
    <m/>
    <m/>
    <x v="2"/>
    <m/>
    <x v="2"/>
    <m/>
    <m/>
    <m/>
    <m/>
    <m/>
    <m/>
    <m/>
    <m/>
    <m/>
    <m/>
    <m/>
    <m/>
    <x v="0"/>
    <x v="4"/>
    <x v="1"/>
    <m/>
    <m/>
    <x v="2"/>
    <m/>
    <m/>
    <m/>
    <m/>
    <m/>
    <m/>
    <x v="0"/>
    <x v="4"/>
    <x v="2"/>
    <x v="1"/>
    <x v="4"/>
    <x v="2"/>
    <x v="3"/>
    <x v="0"/>
    <x v="0"/>
    <x v="1"/>
    <x v="2"/>
    <x v="0"/>
    <x v="0"/>
    <x v="0"/>
    <x v="2"/>
    <x v="0"/>
    <x v="3"/>
    <x v="2"/>
    <x v="1"/>
    <x v="1"/>
    <x v="3"/>
    <x v="3"/>
    <x v="0"/>
    <x v="0"/>
    <x v="0"/>
    <x v="0"/>
  </r>
  <r>
    <m/>
    <x v="2"/>
    <x v="1"/>
    <x v="0"/>
    <m/>
    <m/>
    <m/>
    <x v="0"/>
    <m/>
    <x v="2"/>
    <m/>
    <m/>
    <m/>
    <m/>
    <m/>
    <m/>
    <m/>
    <m/>
    <m/>
    <m/>
    <m/>
    <m/>
    <x v="0"/>
    <x v="0"/>
    <x v="0"/>
    <m/>
    <m/>
    <x v="2"/>
    <m/>
    <m/>
    <m/>
    <m/>
    <m/>
    <m/>
    <x v="0"/>
    <x v="2"/>
    <x v="0"/>
    <x v="1"/>
    <x v="1"/>
    <x v="2"/>
    <x v="0"/>
    <x v="0"/>
    <x v="0"/>
    <x v="1"/>
    <x v="0"/>
    <x v="2"/>
    <x v="2"/>
    <x v="0"/>
    <x v="0"/>
    <x v="0"/>
    <x v="3"/>
    <x v="1"/>
    <x v="1"/>
    <x v="1"/>
    <x v="2"/>
    <x v="3"/>
    <x v="0"/>
    <x v="0"/>
    <x v="0"/>
    <x v="0"/>
  </r>
  <r>
    <m/>
    <x v="2"/>
    <x v="4"/>
    <x v="1"/>
    <m/>
    <m/>
    <m/>
    <x v="0"/>
    <m/>
    <x v="3"/>
    <m/>
    <m/>
    <m/>
    <m/>
    <m/>
    <m/>
    <m/>
    <m/>
    <m/>
    <m/>
    <m/>
    <m/>
    <x v="0"/>
    <x v="0"/>
    <x v="0"/>
    <m/>
    <m/>
    <x v="2"/>
    <m/>
    <m/>
    <m/>
    <m/>
    <m/>
    <m/>
    <x v="1"/>
    <x v="2"/>
    <x v="2"/>
    <x v="1"/>
    <x v="4"/>
    <x v="2"/>
    <x v="3"/>
    <x v="2"/>
    <x v="1"/>
    <x v="1"/>
    <x v="2"/>
    <x v="1"/>
    <x v="0"/>
    <x v="1"/>
    <x v="1"/>
    <x v="2"/>
    <x v="3"/>
    <x v="1"/>
    <x v="1"/>
    <x v="1"/>
    <x v="2"/>
    <x v="0"/>
    <x v="0"/>
    <x v="0"/>
    <x v="0"/>
    <x v="0"/>
  </r>
  <r>
    <m/>
    <x v="2"/>
    <x v="1"/>
    <x v="0"/>
    <m/>
    <m/>
    <m/>
    <x v="2"/>
    <m/>
    <x v="3"/>
    <m/>
    <m/>
    <m/>
    <m/>
    <m/>
    <m/>
    <m/>
    <m/>
    <m/>
    <m/>
    <m/>
    <m/>
    <x v="2"/>
    <x v="2"/>
    <x v="2"/>
    <m/>
    <m/>
    <x v="2"/>
    <m/>
    <m/>
    <m/>
    <m/>
    <m/>
    <m/>
    <x v="2"/>
    <x v="2"/>
    <x v="2"/>
    <x v="2"/>
    <x v="3"/>
    <x v="3"/>
    <x v="5"/>
    <x v="4"/>
    <x v="0"/>
    <x v="3"/>
    <x v="5"/>
    <x v="4"/>
    <x v="0"/>
    <x v="2"/>
    <x v="4"/>
    <x v="2"/>
    <x v="2"/>
    <x v="2"/>
    <x v="4"/>
    <x v="3"/>
    <x v="5"/>
    <x v="4"/>
    <x v="0"/>
    <x v="0"/>
    <x v="0"/>
    <x v="0"/>
  </r>
  <r>
    <m/>
    <x v="2"/>
    <x v="0"/>
    <x v="1"/>
    <m/>
    <m/>
    <m/>
    <x v="0"/>
    <m/>
    <x v="5"/>
    <m/>
    <m/>
    <m/>
    <m/>
    <m/>
    <m/>
    <m/>
    <m/>
    <m/>
    <m/>
    <m/>
    <m/>
    <x v="4"/>
    <x v="4"/>
    <x v="0"/>
    <m/>
    <m/>
    <x v="1"/>
    <m/>
    <m/>
    <m/>
    <m/>
    <m/>
    <m/>
    <x v="0"/>
    <x v="4"/>
    <x v="0"/>
    <x v="2"/>
    <x v="4"/>
    <x v="3"/>
    <x v="3"/>
    <x v="0"/>
    <x v="1"/>
    <x v="1"/>
    <x v="2"/>
    <x v="1"/>
    <x v="0"/>
    <x v="1"/>
    <x v="1"/>
    <x v="1"/>
    <x v="1"/>
    <x v="1"/>
    <x v="1"/>
    <x v="1"/>
    <x v="4"/>
    <x v="3"/>
    <x v="0"/>
    <x v="0"/>
    <x v="0"/>
    <x v="0"/>
  </r>
  <r>
    <m/>
    <x v="2"/>
    <x v="0"/>
    <x v="0"/>
    <m/>
    <m/>
    <m/>
    <x v="2"/>
    <m/>
    <x v="2"/>
    <m/>
    <m/>
    <m/>
    <m/>
    <m/>
    <m/>
    <m/>
    <m/>
    <m/>
    <m/>
    <m/>
    <m/>
    <x v="2"/>
    <x v="0"/>
    <x v="0"/>
    <m/>
    <m/>
    <x v="2"/>
    <m/>
    <m/>
    <m/>
    <m/>
    <m/>
    <m/>
    <x v="0"/>
    <x v="2"/>
    <x v="4"/>
    <x v="2"/>
    <x v="4"/>
    <x v="3"/>
    <x v="3"/>
    <x v="0"/>
    <x v="1"/>
    <x v="1"/>
    <x v="0"/>
    <x v="1"/>
    <x v="0"/>
    <x v="0"/>
    <x v="0"/>
    <x v="0"/>
    <x v="3"/>
    <x v="2"/>
    <x v="1"/>
    <x v="1"/>
    <x v="2"/>
    <x v="2"/>
    <x v="0"/>
    <x v="0"/>
    <x v="0"/>
    <x v="0"/>
  </r>
  <r>
    <m/>
    <x v="2"/>
    <x v="0"/>
    <x v="1"/>
    <m/>
    <m/>
    <m/>
    <x v="0"/>
    <m/>
    <x v="2"/>
    <m/>
    <m/>
    <m/>
    <m/>
    <m/>
    <m/>
    <m/>
    <m/>
    <m/>
    <m/>
    <m/>
    <m/>
    <x v="2"/>
    <x v="1"/>
    <x v="0"/>
    <m/>
    <m/>
    <x v="2"/>
    <m/>
    <m/>
    <m/>
    <m/>
    <m/>
    <m/>
    <x v="0"/>
    <x v="4"/>
    <x v="2"/>
    <x v="1"/>
    <x v="1"/>
    <x v="2"/>
    <x v="0"/>
    <x v="0"/>
    <x v="0"/>
    <x v="3"/>
    <x v="0"/>
    <x v="1"/>
    <x v="0"/>
    <x v="1"/>
    <x v="1"/>
    <x v="0"/>
    <x v="3"/>
    <x v="1"/>
    <x v="1"/>
    <x v="1"/>
    <x v="3"/>
    <x v="2"/>
    <x v="0"/>
    <x v="0"/>
    <x v="0"/>
    <x v="0"/>
  </r>
  <r>
    <m/>
    <x v="2"/>
    <x v="0"/>
    <x v="1"/>
    <m/>
    <m/>
    <m/>
    <x v="0"/>
    <m/>
    <x v="2"/>
    <m/>
    <m/>
    <m/>
    <m/>
    <m/>
    <m/>
    <m/>
    <m/>
    <m/>
    <m/>
    <m/>
    <m/>
    <x v="0"/>
    <x v="0"/>
    <x v="0"/>
    <m/>
    <m/>
    <x v="2"/>
    <m/>
    <m/>
    <m/>
    <m/>
    <m/>
    <m/>
    <x v="0"/>
    <x v="2"/>
    <x v="0"/>
    <x v="1"/>
    <x v="1"/>
    <x v="2"/>
    <x v="0"/>
    <x v="0"/>
    <x v="0"/>
    <x v="3"/>
    <x v="0"/>
    <x v="1"/>
    <x v="4"/>
    <x v="0"/>
    <x v="2"/>
    <x v="3"/>
    <x v="3"/>
    <x v="1"/>
    <x v="1"/>
    <x v="1"/>
    <x v="5"/>
    <x v="0"/>
    <x v="0"/>
    <x v="0"/>
    <x v="0"/>
    <x v="0"/>
  </r>
  <r>
    <m/>
    <x v="2"/>
    <x v="0"/>
    <x v="0"/>
    <m/>
    <m/>
    <m/>
    <x v="0"/>
    <m/>
    <x v="3"/>
    <m/>
    <m/>
    <m/>
    <m/>
    <m/>
    <m/>
    <m/>
    <m/>
    <m/>
    <m/>
    <m/>
    <m/>
    <x v="0"/>
    <x v="0"/>
    <x v="0"/>
    <m/>
    <m/>
    <x v="2"/>
    <m/>
    <m/>
    <m/>
    <m/>
    <m/>
    <m/>
    <x v="0"/>
    <x v="2"/>
    <x v="2"/>
    <x v="0"/>
    <x v="1"/>
    <x v="0"/>
    <x v="0"/>
    <x v="0"/>
    <x v="0"/>
    <x v="1"/>
    <x v="0"/>
    <x v="2"/>
    <x v="2"/>
    <x v="0"/>
    <x v="1"/>
    <x v="0"/>
    <x v="1"/>
    <x v="1"/>
    <x v="1"/>
    <x v="1"/>
    <x v="2"/>
    <x v="2"/>
    <x v="0"/>
    <x v="0"/>
    <x v="0"/>
    <x v="0"/>
  </r>
  <r>
    <m/>
    <x v="2"/>
    <x v="0"/>
    <x v="1"/>
    <m/>
    <m/>
    <m/>
    <x v="0"/>
    <m/>
    <x v="0"/>
    <m/>
    <m/>
    <m/>
    <m/>
    <m/>
    <m/>
    <m/>
    <m/>
    <m/>
    <m/>
    <m/>
    <m/>
    <x v="0"/>
    <x v="0"/>
    <x v="0"/>
    <m/>
    <m/>
    <x v="2"/>
    <m/>
    <m/>
    <m/>
    <m/>
    <m/>
    <m/>
    <x v="0"/>
    <x v="2"/>
    <x v="0"/>
    <x v="1"/>
    <x v="1"/>
    <x v="2"/>
    <x v="0"/>
    <x v="0"/>
    <x v="0"/>
    <x v="1"/>
    <x v="0"/>
    <x v="2"/>
    <x v="2"/>
    <x v="0"/>
    <x v="1"/>
    <x v="0"/>
    <x v="1"/>
    <x v="1"/>
    <x v="1"/>
    <x v="1"/>
    <x v="2"/>
    <x v="2"/>
    <x v="0"/>
    <x v="0"/>
    <x v="0"/>
    <x v="0"/>
  </r>
  <r>
    <m/>
    <x v="2"/>
    <x v="0"/>
    <x v="1"/>
    <m/>
    <m/>
    <m/>
    <x v="0"/>
    <m/>
    <x v="5"/>
    <m/>
    <m/>
    <m/>
    <m/>
    <m/>
    <m/>
    <m/>
    <m/>
    <m/>
    <m/>
    <m/>
    <m/>
    <x v="0"/>
    <x v="0"/>
    <x v="1"/>
    <m/>
    <m/>
    <x v="2"/>
    <m/>
    <m/>
    <m/>
    <m/>
    <m/>
    <m/>
    <x v="0"/>
    <x v="2"/>
    <x v="0"/>
    <x v="4"/>
    <x v="1"/>
    <x v="3"/>
    <x v="0"/>
    <x v="0"/>
    <x v="0"/>
    <x v="1"/>
    <x v="0"/>
    <x v="2"/>
    <x v="0"/>
    <x v="0"/>
    <x v="1"/>
    <x v="0"/>
    <x v="4"/>
    <x v="0"/>
    <x v="0"/>
    <x v="2"/>
    <x v="5"/>
    <x v="2"/>
    <x v="0"/>
    <x v="0"/>
    <x v="0"/>
    <x v="0"/>
  </r>
  <r>
    <m/>
    <x v="2"/>
    <x v="0"/>
    <x v="1"/>
    <m/>
    <m/>
    <m/>
    <x v="2"/>
    <m/>
    <x v="3"/>
    <m/>
    <m/>
    <m/>
    <m/>
    <m/>
    <m/>
    <m/>
    <m/>
    <m/>
    <m/>
    <m/>
    <m/>
    <x v="0"/>
    <x v="0"/>
    <x v="1"/>
    <m/>
    <m/>
    <x v="0"/>
    <m/>
    <m/>
    <m/>
    <m/>
    <m/>
    <m/>
    <x v="0"/>
    <x v="2"/>
    <x v="2"/>
    <x v="2"/>
    <x v="4"/>
    <x v="3"/>
    <x v="3"/>
    <x v="2"/>
    <x v="1"/>
    <x v="3"/>
    <x v="2"/>
    <x v="1"/>
    <x v="0"/>
    <x v="1"/>
    <x v="0"/>
    <x v="2"/>
    <x v="1"/>
    <x v="1"/>
    <x v="1"/>
    <x v="1"/>
    <x v="3"/>
    <x v="2"/>
    <x v="0"/>
    <x v="0"/>
    <x v="0"/>
    <x v="0"/>
  </r>
  <r>
    <m/>
    <x v="2"/>
    <x v="0"/>
    <x v="1"/>
    <m/>
    <m/>
    <m/>
    <x v="0"/>
    <m/>
    <x v="3"/>
    <m/>
    <m/>
    <m/>
    <m/>
    <m/>
    <m/>
    <m/>
    <m/>
    <m/>
    <m/>
    <m/>
    <m/>
    <x v="4"/>
    <x v="3"/>
    <x v="1"/>
    <m/>
    <m/>
    <x v="0"/>
    <m/>
    <m/>
    <m/>
    <m/>
    <m/>
    <m/>
    <x v="1"/>
    <x v="2"/>
    <x v="2"/>
    <x v="1"/>
    <x v="4"/>
    <x v="3"/>
    <x v="0"/>
    <x v="0"/>
    <x v="0"/>
    <x v="3"/>
    <x v="0"/>
    <x v="2"/>
    <x v="0"/>
    <x v="1"/>
    <x v="0"/>
    <x v="3"/>
    <x v="3"/>
    <x v="2"/>
    <x v="2"/>
    <x v="3"/>
    <x v="3"/>
    <x v="2"/>
    <x v="0"/>
    <x v="0"/>
    <x v="0"/>
    <x v="0"/>
  </r>
  <r>
    <m/>
    <x v="2"/>
    <x v="0"/>
    <x v="0"/>
    <m/>
    <m/>
    <m/>
    <x v="0"/>
    <m/>
    <x v="5"/>
    <m/>
    <m/>
    <m/>
    <m/>
    <m/>
    <m/>
    <m/>
    <m/>
    <m/>
    <m/>
    <m/>
    <m/>
    <x v="0"/>
    <x v="0"/>
    <x v="0"/>
    <m/>
    <m/>
    <x v="2"/>
    <m/>
    <m/>
    <m/>
    <m/>
    <m/>
    <m/>
    <x v="5"/>
    <x v="1"/>
    <x v="3"/>
    <x v="1"/>
    <x v="1"/>
    <x v="2"/>
    <x v="0"/>
    <x v="0"/>
    <x v="0"/>
    <x v="0"/>
    <x v="0"/>
    <x v="1"/>
    <x v="2"/>
    <x v="0"/>
    <x v="1"/>
    <x v="0"/>
    <x v="1"/>
    <x v="1"/>
    <x v="1"/>
    <x v="1"/>
    <x v="2"/>
    <x v="1"/>
    <x v="0"/>
    <x v="0"/>
    <x v="0"/>
    <x v="0"/>
  </r>
  <r>
    <m/>
    <x v="2"/>
    <x v="0"/>
    <x v="0"/>
    <m/>
    <m/>
    <m/>
    <x v="0"/>
    <m/>
    <x v="3"/>
    <m/>
    <m/>
    <m/>
    <m/>
    <m/>
    <m/>
    <m/>
    <m/>
    <m/>
    <m/>
    <m/>
    <m/>
    <x v="0"/>
    <x v="0"/>
    <x v="0"/>
    <m/>
    <m/>
    <x v="2"/>
    <m/>
    <m/>
    <m/>
    <m/>
    <m/>
    <m/>
    <x v="0"/>
    <x v="2"/>
    <x v="0"/>
    <x v="1"/>
    <x v="1"/>
    <x v="2"/>
    <x v="0"/>
    <x v="0"/>
    <x v="0"/>
    <x v="1"/>
    <x v="0"/>
    <x v="3"/>
    <x v="2"/>
    <x v="0"/>
    <x v="1"/>
    <x v="0"/>
    <x v="1"/>
    <x v="1"/>
    <x v="1"/>
    <x v="1"/>
    <x v="2"/>
    <x v="4"/>
    <x v="0"/>
    <x v="0"/>
    <x v="0"/>
    <x v="0"/>
  </r>
  <r>
    <m/>
    <x v="2"/>
    <x v="0"/>
    <x v="1"/>
    <m/>
    <m/>
    <m/>
    <x v="0"/>
    <m/>
    <x v="0"/>
    <m/>
    <m/>
    <m/>
    <m/>
    <m/>
    <m/>
    <m/>
    <m/>
    <m/>
    <m/>
    <m/>
    <m/>
    <x v="1"/>
    <x v="0"/>
    <x v="0"/>
    <m/>
    <m/>
    <x v="2"/>
    <m/>
    <m/>
    <m/>
    <m/>
    <m/>
    <m/>
    <x v="0"/>
    <x v="2"/>
    <x v="5"/>
    <x v="1"/>
    <x v="1"/>
    <x v="4"/>
    <x v="0"/>
    <x v="3"/>
    <x v="0"/>
    <x v="1"/>
    <x v="0"/>
    <x v="2"/>
    <x v="2"/>
    <x v="3"/>
    <x v="1"/>
    <x v="0"/>
    <x v="1"/>
    <x v="1"/>
    <x v="1"/>
    <x v="1"/>
    <x v="4"/>
    <x v="2"/>
    <x v="0"/>
    <x v="0"/>
    <x v="0"/>
    <x v="0"/>
  </r>
  <r>
    <m/>
    <x v="2"/>
    <x v="0"/>
    <x v="1"/>
    <m/>
    <m/>
    <m/>
    <x v="0"/>
    <m/>
    <x v="2"/>
    <m/>
    <m/>
    <m/>
    <m/>
    <m/>
    <m/>
    <m/>
    <m/>
    <m/>
    <m/>
    <m/>
    <m/>
    <x v="0"/>
    <x v="0"/>
    <x v="0"/>
    <m/>
    <m/>
    <x v="2"/>
    <m/>
    <m/>
    <m/>
    <m/>
    <m/>
    <m/>
    <x v="0"/>
    <x v="2"/>
    <x v="0"/>
    <x v="1"/>
    <x v="1"/>
    <x v="2"/>
    <x v="0"/>
    <x v="0"/>
    <x v="0"/>
    <x v="1"/>
    <x v="0"/>
    <x v="2"/>
    <x v="2"/>
    <x v="0"/>
    <x v="1"/>
    <x v="0"/>
    <x v="1"/>
    <x v="1"/>
    <x v="1"/>
    <x v="1"/>
    <x v="2"/>
    <x v="0"/>
    <x v="0"/>
    <x v="0"/>
    <x v="0"/>
    <x v="0"/>
  </r>
  <r>
    <m/>
    <x v="2"/>
    <x v="4"/>
    <x v="1"/>
    <m/>
    <m/>
    <m/>
    <x v="2"/>
    <m/>
    <x v="3"/>
    <m/>
    <m/>
    <m/>
    <m/>
    <m/>
    <m/>
    <m/>
    <m/>
    <m/>
    <m/>
    <m/>
    <m/>
    <x v="0"/>
    <x v="0"/>
    <x v="0"/>
    <m/>
    <m/>
    <x v="2"/>
    <m/>
    <m/>
    <m/>
    <m/>
    <m/>
    <m/>
    <x v="1"/>
    <x v="4"/>
    <x v="2"/>
    <x v="2"/>
    <x v="1"/>
    <x v="3"/>
    <x v="3"/>
    <x v="0"/>
    <x v="0"/>
    <x v="1"/>
    <x v="2"/>
    <x v="1"/>
    <x v="0"/>
    <x v="1"/>
    <x v="1"/>
    <x v="2"/>
    <x v="3"/>
    <x v="1"/>
    <x v="2"/>
    <x v="3"/>
    <x v="3"/>
    <x v="3"/>
    <x v="0"/>
    <x v="0"/>
    <x v="0"/>
    <x v="0"/>
  </r>
  <r>
    <m/>
    <x v="2"/>
    <x v="3"/>
    <x v="0"/>
    <m/>
    <m/>
    <m/>
    <x v="3"/>
    <m/>
    <x v="3"/>
    <m/>
    <m/>
    <m/>
    <m/>
    <m/>
    <m/>
    <m/>
    <m/>
    <m/>
    <m/>
    <m/>
    <m/>
    <x v="4"/>
    <x v="3"/>
    <x v="4"/>
    <m/>
    <m/>
    <x v="0"/>
    <m/>
    <m/>
    <m/>
    <m/>
    <m/>
    <m/>
    <x v="1"/>
    <x v="4"/>
    <x v="2"/>
    <x v="5"/>
    <x v="3"/>
    <x v="3"/>
    <x v="5"/>
    <x v="2"/>
    <x v="1"/>
    <x v="0"/>
    <x v="2"/>
    <x v="0"/>
    <x v="0"/>
    <x v="4"/>
    <x v="2"/>
    <x v="0"/>
    <x v="0"/>
    <x v="4"/>
    <x v="3"/>
    <x v="3"/>
    <x v="4"/>
    <x v="2"/>
    <x v="0"/>
    <x v="0"/>
    <x v="0"/>
    <x v="0"/>
  </r>
  <r>
    <m/>
    <x v="2"/>
    <x v="3"/>
    <x v="0"/>
    <m/>
    <m/>
    <m/>
    <x v="0"/>
    <m/>
    <x v="2"/>
    <m/>
    <m/>
    <m/>
    <m/>
    <m/>
    <m/>
    <m/>
    <m/>
    <m/>
    <m/>
    <m/>
    <m/>
    <x v="0"/>
    <x v="0"/>
    <x v="0"/>
    <m/>
    <m/>
    <x v="2"/>
    <m/>
    <m/>
    <m/>
    <m/>
    <m/>
    <m/>
    <x v="0"/>
    <x v="2"/>
    <x v="0"/>
    <x v="1"/>
    <x v="1"/>
    <x v="2"/>
    <x v="0"/>
    <x v="0"/>
    <x v="0"/>
    <x v="1"/>
    <x v="2"/>
    <x v="2"/>
    <x v="2"/>
    <x v="0"/>
    <x v="0"/>
    <x v="0"/>
    <x v="3"/>
    <x v="2"/>
    <x v="2"/>
    <x v="1"/>
    <x v="2"/>
    <x v="0"/>
    <x v="0"/>
    <x v="0"/>
    <x v="0"/>
    <x v="0"/>
  </r>
  <r>
    <m/>
    <x v="2"/>
    <x v="3"/>
    <x v="0"/>
    <m/>
    <m/>
    <m/>
    <x v="1"/>
    <m/>
    <x v="3"/>
    <m/>
    <m/>
    <m/>
    <m/>
    <m/>
    <m/>
    <m/>
    <m/>
    <m/>
    <m/>
    <m/>
    <m/>
    <x v="4"/>
    <x v="3"/>
    <x v="1"/>
    <m/>
    <m/>
    <x v="0"/>
    <m/>
    <m/>
    <m/>
    <m/>
    <m/>
    <m/>
    <x v="0"/>
    <x v="2"/>
    <x v="0"/>
    <x v="2"/>
    <x v="3"/>
    <x v="3"/>
    <x v="3"/>
    <x v="2"/>
    <x v="1"/>
    <x v="3"/>
    <x v="2"/>
    <x v="1"/>
    <x v="0"/>
    <x v="1"/>
    <x v="0"/>
    <x v="2"/>
    <x v="3"/>
    <x v="2"/>
    <x v="2"/>
    <x v="3"/>
    <x v="3"/>
    <x v="3"/>
    <x v="0"/>
    <x v="0"/>
    <x v="0"/>
    <x v="0"/>
  </r>
  <r>
    <m/>
    <x v="2"/>
    <x v="3"/>
    <x v="0"/>
    <m/>
    <m/>
    <m/>
    <x v="2"/>
    <m/>
    <x v="3"/>
    <m/>
    <m/>
    <m/>
    <m/>
    <m/>
    <m/>
    <m/>
    <m/>
    <m/>
    <m/>
    <m/>
    <m/>
    <x v="0"/>
    <x v="0"/>
    <x v="1"/>
    <m/>
    <m/>
    <x v="2"/>
    <m/>
    <m/>
    <m/>
    <m/>
    <m/>
    <m/>
    <x v="0"/>
    <x v="2"/>
    <x v="2"/>
    <x v="1"/>
    <x v="4"/>
    <x v="2"/>
    <x v="0"/>
    <x v="0"/>
    <x v="1"/>
    <x v="1"/>
    <x v="0"/>
    <x v="3"/>
    <x v="2"/>
    <x v="0"/>
    <x v="1"/>
    <x v="2"/>
    <x v="3"/>
    <x v="2"/>
    <x v="1"/>
    <x v="1"/>
    <x v="3"/>
    <x v="3"/>
    <x v="0"/>
    <x v="0"/>
    <x v="0"/>
    <x v="0"/>
  </r>
  <r>
    <m/>
    <x v="2"/>
    <x v="3"/>
    <x v="0"/>
    <m/>
    <m/>
    <m/>
    <x v="0"/>
    <m/>
    <x v="3"/>
    <m/>
    <m/>
    <m/>
    <m/>
    <m/>
    <m/>
    <m/>
    <m/>
    <m/>
    <m/>
    <m/>
    <m/>
    <x v="0"/>
    <x v="0"/>
    <x v="0"/>
    <m/>
    <m/>
    <x v="2"/>
    <m/>
    <m/>
    <m/>
    <m/>
    <m/>
    <m/>
    <x v="0"/>
    <x v="2"/>
    <x v="0"/>
    <x v="2"/>
    <x v="4"/>
    <x v="3"/>
    <x v="0"/>
    <x v="0"/>
    <x v="0"/>
    <x v="0"/>
    <x v="0"/>
    <x v="1"/>
    <x v="2"/>
    <x v="5"/>
    <x v="1"/>
    <x v="3"/>
    <x v="3"/>
    <x v="1"/>
    <x v="1"/>
    <x v="1"/>
    <x v="2"/>
    <x v="2"/>
    <x v="0"/>
    <x v="0"/>
    <x v="0"/>
    <x v="0"/>
  </r>
  <r>
    <m/>
    <x v="2"/>
    <x v="1"/>
    <x v="1"/>
    <m/>
    <m/>
    <m/>
    <x v="4"/>
    <m/>
    <x v="3"/>
    <m/>
    <m/>
    <m/>
    <m/>
    <m/>
    <m/>
    <m/>
    <m/>
    <m/>
    <m/>
    <m/>
    <m/>
    <x v="5"/>
    <x v="3"/>
    <x v="2"/>
    <m/>
    <m/>
    <x v="2"/>
    <m/>
    <m/>
    <m/>
    <m/>
    <m/>
    <m/>
    <x v="3"/>
    <x v="3"/>
    <x v="2"/>
    <x v="2"/>
    <x v="3"/>
    <x v="3"/>
    <x v="3"/>
    <x v="2"/>
    <x v="5"/>
    <x v="0"/>
    <x v="3"/>
    <x v="2"/>
    <x v="3"/>
    <x v="3"/>
    <x v="2"/>
    <x v="5"/>
    <x v="1"/>
    <x v="2"/>
    <x v="1"/>
    <x v="1"/>
    <x v="3"/>
    <x v="3"/>
    <x v="0"/>
    <x v="0"/>
    <x v="0"/>
    <x v="0"/>
  </r>
  <r>
    <m/>
    <x v="2"/>
    <x v="0"/>
    <x v="0"/>
    <m/>
    <m/>
    <m/>
    <x v="0"/>
    <m/>
    <x v="3"/>
    <m/>
    <m/>
    <m/>
    <m/>
    <m/>
    <m/>
    <m/>
    <m/>
    <m/>
    <m/>
    <m/>
    <m/>
    <x v="0"/>
    <x v="0"/>
    <x v="0"/>
    <m/>
    <m/>
    <x v="2"/>
    <m/>
    <m/>
    <m/>
    <m/>
    <m/>
    <m/>
    <x v="0"/>
    <x v="2"/>
    <x v="2"/>
    <x v="2"/>
    <x v="4"/>
    <x v="2"/>
    <x v="3"/>
    <x v="0"/>
    <x v="0"/>
    <x v="1"/>
    <x v="0"/>
    <x v="1"/>
    <x v="2"/>
    <x v="0"/>
    <x v="0"/>
    <x v="0"/>
    <x v="3"/>
    <x v="1"/>
    <x v="1"/>
    <x v="1"/>
    <x v="2"/>
    <x v="0"/>
    <x v="0"/>
    <x v="0"/>
    <x v="0"/>
    <x v="0"/>
  </r>
  <r>
    <m/>
    <x v="2"/>
    <x v="0"/>
    <x v="1"/>
    <m/>
    <m/>
    <m/>
    <x v="0"/>
    <m/>
    <x v="0"/>
    <m/>
    <m/>
    <m/>
    <m/>
    <m/>
    <m/>
    <m/>
    <m/>
    <m/>
    <m/>
    <m/>
    <m/>
    <x v="0"/>
    <x v="0"/>
    <x v="0"/>
    <m/>
    <m/>
    <x v="2"/>
    <m/>
    <m/>
    <m/>
    <m/>
    <m/>
    <m/>
    <x v="0"/>
    <x v="0"/>
    <x v="0"/>
    <x v="1"/>
    <x v="1"/>
    <x v="2"/>
    <x v="0"/>
    <x v="0"/>
    <x v="0"/>
    <x v="1"/>
    <x v="0"/>
    <x v="2"/>
    <x v="2"/>
    <x v="0"/>
    <x v="1"/>
    <x v="0"/>
    <x v="1"/>
    <x v="1"/>
    <x v="1"/>
    <x v="1"/>
    <x v="2"/>
    <x v="2"/>
    <x v="0"/>
    <x v="0"/>
    <x v="0"/>
    <x v="0"/>
  </r>
  <r>
    <m/>
    <x v="2"/>
    <x v="1"/>
    <x v="0"/>
    <m/>
    <m/>
    <m/>
    <x v="0"/>
    <m/>
    <x v="3"/>
    <m/>
    <m/>
    <m/>
    <m/>
    <m/>
    <m/>
    <m/>
    <m/>
    <m/>
    <m/>
    <m/>
    <m/>
    <x v="0"/>
    <x v="0"/>
    <x v="0"/>
    <m/>
    <m/>
    <x v="0"/>
    <m/>
    <m/>
    <m/>
    <m/>
    <m/>
    <m/>
    <x v="1"/>
    <x v="4"/>
    <x v="0"/>
    <x v="2"/>
    <x v="0"/>
    <x v="3"/>
    <x v="3"/>
    <x v="2"/>
    <x v="1"/>
    <x v="3"/>
    <x v="2"/>
    <x v="3"/>
    <x v="3"/>
    <x v="0"/>
    <x v="2"/>
    <x v="0"/>
    <x v="3"/>
    <x v="2"/>
    <x v="1"/>
    <x v="3"/>
    <x v="3"/>
    <x v="3"/>
    <x v="0"/>
    <x v="0"/>
    <x v="0"/>
    <x v="0"/>
  </r>
  <r>
    <m/>
    <x v="2"/>
    <x v="1"/>
    <x v="1"/>
    <m/>
    <m/>
    <m/>
    <x v="0"/>
    <m/>
    <x v="2"/>
    <m/>
    <m/>
    <m/>
    <m/>
    <m/>
    <m/>
    <m/>
    <m/>
    <m/>
    <m/>
    <m/>
    <m/>
    <x v="1"/>
    <x v="0"/>
    <x v="0"/>
    <m/>
    <m/>
    <x v="2"/>
    <m/>
    <m/>
    <m/>
    <m/>
    <m/>
    <m/>
    <x v="0"/>
    <x v="2"/>
    <x v="0"/>
    <x v="1"/>
    <x v="4"/>
    <x v="2"/>
    <x v="0"/>
    <x v="0"/>
    <x v="0"/>
    <x v="1"/>
    <x v="0"/>
    <x v="2"/>
    <x v="0"/>
    <x v="0"/>
    <x v="0"/>
    <x v="0"/>
    <x v="1"/>
    <x v="1"/>
    <x v="1"/>
    <x v="1"/>
    <x v="3"/>
    <x v="0"/>
    <x v="0"/>
    <x v="0"/>
    <x v="0"/>
    <x v="0"/>
  </r>
  <r>
    <m/>
    <x v="2"/>
    <x v="0"/>
    <x v="1"/>
    <m/>
    <m/>
    <m/>
    <x v="0"/>
    <m/>
    <x v="0"/>
    <m/>
    <m/>
    <m/>
    <m/>
    <m/>
    <m/>
    <m/>
    <m/>
    <m/>
    <m/>
    <m/>
    <m/>
    <x v="0"/>
    <x v="0"/>
    <x v="0"/>
    <m/>
    <m/>
    <x v="2"/>
    <m/>
    <m/>
    <m/>
    <m/>
    <m/>
    <m/>
    <x v="0"/>
    <x v="3"/>
    <x v="0"/>
    <x v="2"/>
    <x v="1"/>
    <x v="2"/>
    <x v="3"/>
    <x v="0"/>
    <x v="0"/>
    <x v="1"/>
    <x v="0"/>
    <x v="3"/>
    <x v="3"/>
    <x v="0"/>
    <x v="0"/>
    <x v="0"/>
    <x v="4"/>
    <x v="1"/>
    <x v="0"/>
    <x v="2"/>
    <x v="3"/>
    <x v="0"/>
    <x v="0"/>
    <x v="0"/>
    <x v="0"/>
    <x v="0"/>
  </r>
  <r>
    <m/>
    <x v="2"/>
    <x v="1"/>
    <x v="1"/>
    <m/>
    <m/>
    <m/>
    <x v="2"/>
    <m/>
    <x v="3"/>
    <m/>
    <m/>
    <m/>
    <m/>
    <m/>
    <m/>
    <m/>
    <m/>
    <m/>
    <m/>
    <m/>
    <m/>
    <x v="0"/>
    <x v="0"/>
    <x v="0"/>
    <m/>
    <m/>
    <x v="2"/>
    <m/>
    <m/>
    <m/>
    <m/>
    <m/>
    <m/>
    <x v="0"/>
    <x v="2"/>
    <x v="2"/>
    <x v="1"/>
    <x v="0"/>
    <x v="2"/>
    <x v="0"/>
    <x v="0"/>
    <x v="0"/>
    <x v="3"/>
    <x v="2"/>
    <x v="1"/>
    <x v="0"/>
    <x v="0"/>
    <x v="0"/>
    <x v="0"/>
    <x v="3"/>
    <x v="1"/>
    <x v="2"/>
    <x v="1"/>
    <x v="4"/>
    <x v="3"/>
    <x v="0"/>
    <x v="0"/>
    <x v="0"/>
    <x v="0"/>
  </r>
  <r>
    <m/>
    <x v="2"/>
    <x v="0"/>
    <x v="1"/>
    <m/>
    <m/>
    <m/>
    <x v="0"/>
    <m/>
    <x v="2"/>
    <m/>
    <m/>
    <m/>
    <m/>
    <m/>
    <m/>
    <m/>
    <m/>
    <m/>
    <m/>
    <m/>
    <m/>
    <x v="0"/>
    <x v="0"/>
    <x v="0"/>
    <m/>
    <m/>
    <x v="2"/>
    <m/>
    <m/>
    <m/>
    <m/>
    <m/>
    <m/>
    <x v="0"/>
    <x v="2"/>
    <x v="0"/>
    <x v="1"/>
    <x v="1"/>
    <x v="2"/>
    <x v="0"/>
    <x v="0"/>
    <x v="0"/>
    <x v="1"/>
    <x v="0"/>
    <x v="1"/>
    <x v="0"/>
    <x v="0"/>
    <x v="0"/>
    <x v="0"/>
    <x v="1"/>
    <x v="1"/>
    <x v="1"/>
    <x v="1"/>
    <x v="2"/>
    <x v="0"/>
    <x v="0"/>
    <x v="0"/>
    <x v="0"/>
    <x v="0"/>
  </r>
  <r>
    <m/>
    <x v="2"/>
    <x v="1"/>
    <x v="1"/>
    <m/>
    <m/>
    <m/>
    <x v="1"/>
    <m/>
    <x v="1"/>
    <m/>
    <m/>
    <m/>
    <m/>
    <m/>
    <m/>
    <m/>
    <m/>
    <m/>
    <m/>
    <m/>
    <m/>
    <x v="0"/>
    <x v="6"/>
    <x v="3"/>
    <m/>
    <m/>
    <x v="1"/>
    <m/>
    <m/>
    <m/>
    <m/>
    <m/>
    <m/>
    <x v="5"/>
    <x v="1"/>
    <x v="0"/>
    <x v="3"/>
    <x v="2"/>
    <x v="2"/>
    <x v="1"/>
    <x v="1"/>
    <x v="2"/>
    <x v="2"/>
    <x v="1"/>
    <x v="2"/>
    <x v="1"/>
    <x v="2"/>
    <x v="4"/>
    <x v="1"/>
    <x v="1"/>
    <x v="5"/>
    <x v="5"/>
    <x v="5"/>
    <x v="2"/>
    <x v="0"/>
    <x v="0"/>
    <x v="0"/>
    <x v="0"/>
    <x v="0"/>
  </r>
  <r>
    <m/>
    <x v="2"/>
    <x v="0"/>
    <x v="1"/>
    <m/>
    <m/>
    <m/>
    <x v="0"/>
    <m/>
    <x v="3"/>
    <m/>
    <m/>
    <m/>
    <m/>
    <m/>
    <m/>
    <m/>
    <m/>
    <m/>
    <m/>
    <m/>
    <m/>
    <x v="0"/>
    <x v="0"/>
    <x v="0"/>
    <m/>
    <m/>
    <x v="2"/>
    <m/>
    <m/>
    <m/>
    <m/>
    <m/>
    <m/>
    <x v="0"/>
    <x v="2"/>
    <x v="0"/>
    <x v="1"/>
    <x v="1"/>
    <x v="3"/>
    <x v="0"/>
    <x v="0"/>
    <x v="0"/>
    <x v="1"/>
    <x v="0"/>
    <x v="1"/>
    <x v="2"/>
    <x v="0"/>
    <x v="0"/>
    <x v="2"/>
    <x v="3"/>
    <x v="1"/>
    <x v="1"/>
    <x v="1"/>
    <x v="3"/>
    <x v="0"/>
    <x v="0"/>
    <x v="0"/>
    <x v="0"/>
    <x v="0"/>
  </r>
  <r>
    <m/>
    <x v="2"/>
    <x v="0"/>
    <x v="0"/>
    <m/>
    <m/>
    <m/>
    <x v="0"/>
    <m/>
    <x v="2"/>
    <m/>
    <m/>
    <m/>
    <m/>
    <m/>
    <m/>
    <m/>
    <m/>
    <m/>
    <m/>
    <m/>
    <m/>
    <x v="0"/>
    <x v="0"/>
    <x v="0"/>
    <m/>
    <m/>
    <x v="2"/>
    <m/>
    <m/>
    <m/>
    <m/>
    <m/>
    <m/>
    <x v="0"/>
    <x v="2"/>
    <x v="1"/>
    <x v="1"/>
    <x v="1"/>
    <x v="2"/>
    <x v="0"/>
    <x v="3"/>
    <x v="0"/>
    <x v="1"/>
    <x v="0"/>
    <x v="2"/>
    <x v="2"/>
    <x v="3"/>
    <x v="1"/>
    <x v="3"/>
    <x v="1"/>
    <x v="1"/>
    <x v="1"/>
    <x v="1"/>
    <x v="2"/>
    <x v="2"/>
    <x v="0"/>
    <x v="0"/>
    <x v="0"/>
    <x v="0"/>
  </r>
  <r>
    <m/>
    <x v="2"/>
    <x v="0"/>
    <x v="0"/>
    <m/>
    <m/>
    <m/>
    <x v="0"/>
    <m/>
    <x v="2"/>
    <m/>
    <m/>
    <m/>
    <m/>
    <m/>
    <m/>
    <m/>
    <m/>
    <m/>
    <m/>
    <m/>
    <m/>
    <x v="0"/>
    <x v="0"/>
    <x v="0"/>
    <m/>
    <m/>
    <x v="3"/>
    <m/>
    <m/>
    <m/>
    <m/>
    <m/>
    <m/>
    <x v="0"/>
    <x v="0"/>
    <x v="2"/>
    <x v="1"/>
    <x v="1"/>
    <x v="2"/>
    <x v="0"/>
    <x v="0"/>
    <x v="0"/>
    <x v="1"/>
    <x v="0"/>
    <x v="1"/>
    <x v="0"/>
    <x v="0"/>
    <x v="0"/>
    <x v="0"/>
    <x v="1"/>
    <x v="1"/>
    <x v="1"/>
    <x v="1"/>
    <x v="3"/>
    <x v="2"/>
    <x v="0"/>
    <x v="0"/>
    <x v="0"/>
    <x v="0"/>
  </r>
  <r>
    <m/>
    <x v="2"/>
    <x v="0"/>
    <x v="1"/>
    <m/>
    <m/>
    <m/>
    <x v="2"/>
    <m/>
    <x v="2"/>
    <m/>
    <m/>
    <m/>
    <m/>
    <m/>
    <m/>
    <m/>
    <m/>
    <m/>
    <m/>
    <m/>
    <m/>
    <x v="2"/>
    <x v="0"/>
    <x v="1"/>
    <m/>
    <m/>
    <x v="2"/>
    <m/>
    <m/>
    <m/>
    <m/>
    <m/>
    <m/>
    <x v="4"/>
    <x v="0"/>
    <x v="0"/>
    <x v="2"/>
    <x v="1"/>
    <x v="2"/>
    <x v="0"/>
    <x v="0"/>
    <x v="1"/>
    <x v="1"/>
    <x v="0"/>
    <x v="1"/>
    <x v="2"/>
    <x v="0"/>
    <x v="0"/>
    <x v="0"/>
    <x v="4"/>
    <x v="0"/>
    <x v="0"/>
    <x v="2"/>
    <x v="0"/>
    <x v="2"/>
    <x v="0"/>
    <x v="0"/>
    <x v="0"/>
    <x v="0"/>
  </r>
  <r>
    <m/>
    <x v="2"/>
    <x v="1"/>
    <x v="1"/>
    <m/>
    <m/>
    <m/>
    <x v="0"/>
    <m/>
    <x v="2"/>
    <m/>
    <m/>
    <m/>
    <m/>
    <m/>
    <m/>
    <m/>
    <m/>
    <m/>
    <m/>
    <m/>
    <m/>
    <x v="0"/>
    <x v="0"/>
    <x v="0"/>
    <m/>
    <m/>
    <x v="2"/>
    <m/>
    <m/>
    <m/>
    <m/>
    <m/>
    <m/>
    <x v="4"/>
    <x v="2"/>
    <x v="0"/>
    <x v="1"/>
    <x v="1"/>
    <x v="2"/>
    <x v="0"/>
    <x v="0"/>
    <x v="0"/>
    <x v="1"/>
    <x v="0"/>
    <x v="2"/>
    <x v="2"/>
    <x v="0"/>
    <x v="1"/>
    <x v="0"/>
    <x v="1"/>
    <x v="1"/>
    <x v="1"/>
    <x v="1"/>
    <x v="2"/>
    <x v="0"/>
    <x v="0"/>
    <x v="0"/>
    <x v="0"/>
    <x v="0"/>
  </r>
  <r>
    <m/>
    <x v="2"/>
    <x v="0"/>
    <x v="1"/>
    <m/>
    <m/>
    <m/>
    <x v="0"/>
    <m/>
    <x v="2"/>
    <m/>
    <m/>
    <m/>
    <m/>
    <m/>
    <m/>
    <m/>
    <m/>
    <m/>
    <m/>
    <m/>
    <m/>
    <x v="0"/>
    <x v="0"/>
    <x v="0"/>
    <m/>
    <m/>
    <x v="2"/>
    <m/>
    <m/>
    <m/>
    <m/>
    <m/>
    <m/>
    <x v="0"/>
    <x v="2"/>
    <x v="0"/>
    <x v="1"/>
    <x v="1"/>
    <x v="2"/>
    <x v="3"/>
    <x v="3"/>
    <x v="0"/>
    <x v="1"/>
    <x v="0"/>
    <x v="2"/>
    <x v="2"/>
    <x v="0"/>
    <x v="1"/>
    <x v="0"/>
    <x v="1"/>
    <x v="1"/>
    <x v="1"/>
    <x v="1"/>
    <x v="2"/>
    <x v="2"/>
    <x v="0"/>
    <x v="0"/>
    <x v="0"/>
    <x v="0"/>
  </r>
  <r>
    <m/>
    <x v="2"/>
    <x v="0"/>
    <x v="0"/>
    <m/>
    <m/>
    <m/>
    <x v="0"/>
    <m/>
    <x v="2"/>
    <m/>
    <m/>
    <m/>
    <m/>
    <m/>
    <m/>
    <m/>
    <m/>
    <m/>
    <m/>
    <m/>
    <m/>
    <x v="0"/>
    <x v="0"/>
    <x v="0"/>
    <m/>
    <m/>
    <x v="2"/>
    <m/>
    <m/>
    <m/>
    <m/>
    <m/>
    <m/>
    <x v="0"/>
    <x v="4"/>
    <x v="0"/>
    <x v="1"/>
    <x v="1"/>
    <x v="2"/>
    <x v="0"/>
    <x v="0"/>
    <x v="0"/>
    <x v="1"/>
    <x v="2"/>
    <x v="2"/>
    <x v="0"/>
    <x v="0"/>
    <x v="0"/>
    <x v="0"/>
    <x v="1"/>
    <x v="1"/>
    <x v="0"/>
    <x v="2"/>
    <x v="3"/>
    <x v="0"/>
    <x v="0"/>
    <x v="0"/>
    <x v="0"/>
    <x v="0"/>
  </r>
  <r>
    <m/>
    <x v="2"/>
    <x v="0"/>
    <x v="1"/>
    <m/>
    <m/>
    <m/>
    <x v="2"/>
    <m/>
    <x v="3"/>
    <m/>
    <m/>
    <m/>
    <m/>
    <m/>
    <m/>
    <m/>
    <m/>
    <m/>
    <m/>
    <m/>
    <m/>
    <x v="4"/>
    <x v="0"/>
    <x v="1"/>
    <m/>
    <m/>
    <x v="0"/>
    <m/>
    <m/>
    <m/>
    <m/>
    <m/>
    <m/>
    <x v="1"/>
    <x v="4"/>
    <x v="2"/>
    <x v="2"/>
    <x v="4"/>
    <x v="3"/>
    <x v="3"/>
    <x v="2"/>
    <x v="1"/>
    <x v="3"/>
    <x v="2"/>
    <x v="1"/>
    <x v="0"/>
    <x v="1"/>
    <x v="0"/>
    <x v="2"/>
    <x v="3"/>
    <x v="2"/>
    <x v="2"/>
    <x v="3"/>
    <x v="3"/>
    <x v="3"/>
    <x v="0"/>
    <x v="0"/>
    <x v="0"/>
    <x v="0"/>
  </r>
  <r>
    <m/>
    <x v="2"/>
    <x v="0"/>
    <x v="1"/>
    <m/>
    <m/>
    <m/>
    <x v="2"/>
    <m/>
    <x v="0"/>
    <m/>
    <m/>
    <m/>
    <m/>
    <m/>
    <m/>
    <m/>
    <m/>
    <m/>
    <m/>
    <m/>
    <m/>
    <x v="0"/>
    <x v="0"/>
    <x v="2"/>
    <m/>
    <m/>
    <x v="0"/>
    <m/>
    <m/>
    <m/>
    <m/>
    <m/>
    <m/>
    <x v="3"/>
    <x v="3"/>
    <x v="4"/>
    <x v="0"/>
    <x v="3"/>
    <x v="3"/>
    <x v="3"/>
    <x v="4"/>
    <x v="5"/>
    <x v="4"/>
    <x v="3"/>
    <x v="4"/>
    <x v="5"/>
    <x v="5"/>
    <x v="3"/>
    <x v="3"/>
    <x v="3"/>
    <x v="3"/>
    <x v="4"/>
    <x v="2"/>
    <x v="5"/>
    <x v="3"/>
    <x v="0"/>
    <x v="0"/>
    <x v="0"/>
    <x v="0"/>
  </r>
  <r>
    <m/>
    <x v="2"/>
    <x v="0"/>
    <x v="0"/>
    <m/>
    <m/>
    <m/>
    <x v="0"/>
    <m/>
    <x v="2"/>
    <m/>
    <m/>
    <m/>
    <m/>
    <m/>
    <m/>
    <m/>
    <m/>
    <m/>
    <m/>
    <m/>
    <m/>
    <x v="0"/>
    <x v="0"/>
    <x v="0"/>
    <m/>
    <m/>
    <x v="2"/>
    <m/>
    <m/>
    <m/>
    <m/>
    <m/>
    <m/>
    <x v="0"/>
    <x v="2"/>
    <x v="0"/>
    <x v="1"/>
    <x v="1"/>
    <x v="2"/>
    <x v="0"/>
    <x v="0"/>
    <x v="0"/>
    <x v="1"/>
    <x v="2"/>
    <x v="2"/>
    <x v="2"/>
    <x v="0"/>
    <x v="0"/>
    <x v="0"/>
    <x v="4"/>
    <x v="0"/>
    <x v="4"/>
    <x v="1"/>
    <x v="3"/>
    <x v="0"/>
    <x v="0"/>
    <x v="0"/>
    <x v="0"/>
    <x v="0"/>
  </r>
  <r>
    <m/>
    <x v="2"/>
    <x v="1"/>
    <x v="1"/>
    <m/>
    <m/>
    <m/>
    <x v="4"/>
    <m/>
    <x v="2"/>
    <m/>
    <m/>
    <m/>
    <m/>
    <m/>
    <m/>
    <m/>
    <m/>
    <m/>
    <m/>
    <m/>
    <m/>
    <x v="0"/>
    <x v="0"/>
    <x v="2"/>
    <m/>
    <m/>
    <x v="2"/>
    <m/>
    <m/>
    <m/>
    <m/>
    <m/>
    <m/>
    <x v="2"/>
    <x v="4"/>
    <x v="4"/>
    <x v="2"/>
    <x v="4"/>
    <x v="0"/>
    <x v="0"/>
    <x v="3"/>
    <x v="3"/>
    <x v="3"/>
    <x v="3"/>
    <x v="1"/>
    <x v="0"/>
    <x v="5"/>
    <x v="3"/>
    <x v="4"/>
    <x v="2"/>
    <x v="3"/>
    <x v="2"/>
    <x v="3"/>
    <x v="3"/>
    <x v="0"/>
    <x v="0"/>
    <x v="0"/>
    <x v="0"/>
    <x v="0"/>
  </r>
  <r>
    <m/>
    <x v="2"/>
    <x v="0"/>
    <x v="1"/>
    <m/>
    <m/>
    <m/>
    <x v="0"/>
    <m/>
    <x v="2"/>
    <m/>
    <m/>
    <m/>
    <m/>
    <m/>
    <m/>
    <m/>
    <m/>
    <m/>
    <m/>
    <m/>
    <m/>
    <x v="0"/>
    <x v="0"/>
    <x v="1"/>
    <m/>
    <m/>
    <x v="2"/>
    <m/>
    <m/>
    <m/>
    <m/>
    <m/>
    <m/>
    <x v="0"/>
    <x v="2"/>
    <x v="0"/>
    <x v="1"/>
    <x v="1"/>
    <x v="2"/>
    <x v="0"/>
    <x v="0"/>
    <x v="0"/>
    <x v="1"/>
    <x v="0"/>
    <x v="2"/>
    <x v="2"/>
    <x v="0"/>
    <x v="1"/>
    <x v="0"/>
    <x v="3"/>
    <x v="1"/>
    <x v="2"/>
    <x v="1"/>
    <x v="5"/>
    <x v="0"/>
    <x v="0"/>
    <x v="0"/>
    <x v="0"/>
    <x v="0"/>
  </r>
  <r>
    <m/>
    <x v="2"/>
    <x v="0"/>
    <x v="0"/>
    <m/>
    <m/>
    <m/>
    <x v="0"/>
    <m/>
    <x v="2"/>
    <m/>
    <m/>
    <m/>
    <m/>
    <m/>
    <m/>
    <m/>
    <m/>
    <m/>
    <m/>
    <m/>
    <m/>
    <x v="2"/>
    <x v="1"/>
    <x v="2"/>
    <m/>
    <m/>
    <x v="2"/>
    <m/>
    <m/>
    <m/>
    <m/>
    <m/>
    <m/>
    <x v="0"/>
    <x v="2"/>
    <x v="0"/>
    <x v="1"/>
    <x v="1"/>
    <x v="2"/>
    <x v="0"/>
    <x v="0"/>
    <x v="0"/>
    <x v="1"/>
    <x v="3"/>
    <x v="2"/>
    <x v="2"/>
    <x v="0"/>
    <x v="1"/>
    <x v="0"/>
    <x v="2"/>
    <x v="3"/>
    <x v="4"/>
    <x v="1"/>
    <x v="4"/>
    <x v="0"/>
    <x v="0"/>
    <x v="0"/>
    <x v="0"/>
    <x v="0"/>
  </r>
  <r>
    <m/>
    <x v="2"/>
    <x v="0"/>
    <x v="0"/>
    <m/>
    <m/>
    <m/>
    <x v="0"/>
    <m/>
    <x v="2"/>
    <m/>
    <m/>
    <m/>
    <m/>
    <m/>
    <m/>
    <m/>
    <m/>
    <m/>
    <m/>
    <m/>
    <m/>
    <x v="0"/>
    <x v="0"/>
    <x v="0"/>
    <m/>
    <m/>
    <x v="2"/>
    <m/>
    <m/>
    <m/>
    <m/>
    <m/>
    <m/>
    <x v="0"/>
    <x v="2"/>
    <x v="0"/>
    <x v="1"/>
    <x v="1"/>
    <x v="2"/>
    <x v="0"/>
    <x v="0"/>
    <x v="0"/>
    <x v="1"/>
    <x v="0"/>
    <x v="2"/>
    <x v="2"/>
    <x v="0"/>
    <x v="2"/>
    <x v="0"/>
    <x v="2"/>
    <x v="4"/>
    <x v="4"/>
    <x v="1"/>
    <x v="5"/>
    <x v="0"/>
    <x v="0"/>
    <x v="0"/>
    <x v="0"/>
    <x v="0"/>
  </r>
  <r>
    <m/>
    <x v="2"/>
    <x v="4"/>
    <x v="1"/>
    <m/>
    <m/>
    <m/>
    <x v="0"/>
    <m/>
    <x v="4"/>
    <m/>
    <m/>
    <m/>
    <m/>
    <m/>
    <m/>
    <m/>
    <m/>
    <m/>
    <m/>
    <m/>
    <m/>
    <x v="0"/>
    <x v="4"/>
    <x v="1"/>
    <m/>
    <m/>
    <x v="0"/>
    <m/>
    <m/>
    <m/>
    <m/>
    <m/>
    <m/>
    <x v="2"/>
    <x v="5"/>
    <x v="2"/>
    <x v="2"/>
    <x v="4"/>
    <x v="3"/>
    <x v="3"/>
    <x v="2"/>
    <x v="1"/>
    <x v="3"/>
    <x v="2"/>
    <x v="1"/>
    <x v="5"/>
    <x v="1"/>
    <x v="0"/>
    <x v="2"/>
    <x v="3"/>
    <x v="2"/>
    <x v="2"/>
    <x v="0"/>
    <x v="3"/>
    <x v="3"/>
    <x v="0"/>
    <x v="0"/>
    <x v="0"/>
    <x v="0"/>
  </r>
  <r>
    <m/>
    <x v="2"/>
    <x v="0"/>
    <x v="1"/>
    <m/>
    <m/>
    <m/>
    <x v="0"/>
    <m/>
    <x v="0"/>
    <m/>
    <m/>
    <m/>
    <m/>
    <m/>
    <m/>
    <m/>
    <m/>
    <m/>
    <m/>
    <m/>
    <m/>
    <x v="0"/>
    <x v="0"/>
    <x v="0"/>
    <m/>
    <m/>
    <x v="5"/>
    <m/>
    <m/>
    <m/>
    <m/>
    <m/>
    <m/>
    <x v="0"/>
    <x v="2"/>
    <x v="4"/>
    <x v="0"/>
    <x v="0"/>
    <x v="0"/>
    <x v="4"/>
    <x v="3"/>
    <x v="4"/>
    <x v="0"/>
    <x v="0"/>
    <x v="3"/>
    <x v="3"/>
    <x v="3"/>
    <x v="5"/>
    <x v="3"/>
    <x v="3"/>
    <x v="1"/>
    <x v="1"/>
    <x v="2"/>
    <x v="2"/>
    <x v="2"/>
    <x v="0"/>
    <x v="0"/>
    <x v="0"/>
    <x v="0"/>
  </r>
  <r>
    <m/>
    <x v="2"/>
    <x v="0"/>
    <x v="0"/>
    <m/>
    <m/>
    <m/>
    <x v="0"/>
    <m/>
    <x v="2"/>
    <m/>
    <m/>
    <m/>
    <m/>
    <m/>
    <m/>
    <m/>
    <m/>
    <m/>
    <m/>
    <m/>
    <m/>
    <x v="0"/>
    <x v="0"/>
    <x v="0"/>
    <m/>
    <m/>
    <x v="2"/>
    <m/>
    <m/>
    <m/>
    <m/>
    <m/>
    <m/>
    <x v="3"/>
    <x v="3"/>
    <x v="0"/>
    <x v="1"/>
    <x v="1"/>
    <x v="2"/>
    <x v="0"/>
    <x v="0"/>
    <x v="0"/>
    <x v="1"/>
    <x v="0"/>
    <x v="2"/>
    <x v="2"/>
    <x v="0"/>
    <x v="3"/>
    <x v="3"/>
    <x v="4"/>
    <x v="2"/>
    <x v="2"/>
    <x v="1"/>
    <x v="5"/>
    <x v="0"/>
    <x v="0"/>
    <x v="0"/>
    <x v="0"/>
    <x v="0"/>
  </r>
  <r>
    <m/>
    <x v="2"/>
    <x v="0"/>
    <x v="0"/>
    <m/>
    <m/>
    <m/>
    <x v="0"/>
    <m/>
    <x v="2"/>
    <m/>
    <m/>
    <m/>
    <m/>
    <m/>
    <m/>
    <m/>
    <m/>
    <m/>
    <m/>
    <m/>
    <m/>
    <x v="0"/>
    <x v="0"/>
    <x v="0"/>
    <m/>
    <m/>
    <x v="2"/>
    <m/>
    <m/>
    <m/>
    <m/>
    <m/>
    <m/>
    <x v="0"/>
    <x v="2"/>
    <x v="2"/>
    <x v="2"/>
    <x v="4"/>
    <x v="2"/>
    <x v="3"/>
    <x v="2"/>
    <x v="0"/>
    <x v="1"/>
    <x v="0"/>
    <x v="2"/>
    <x v="2"/>
    <x v="0"/>
    <x v="3"/>
    <x v="0"/>
    <x v="1"/>
    <x v="1"/>
    <x v="0"/>
    <x v="2"/>
    <x v="4"/>
    <x v="3"/>
    <x v="0"/>
    <x v="0"/>
    <x v="0"/>
    <x v="0"/>
  </r>
  <r>
    <m/>
    <x v="2"/>
    <x v="1"/>
    <x v="2"/>
    <m/>
    <m/>
    <m/>
    <x v="0"/>
    <m/>
    <x v="2"/>
    <m/>
    <m/>
    <m/>
    <m/>
    <m/>
    <m/>
    <m/>
    <m/>
    <m/>
    <m/>
    <m/>
    <m/>
    <x v="0"/>
    <x v="0"/>
    <x v="1"/>
    <m/>
    <m/>
    <x v="3"/>
    <m/>
    <m/>
    <m/>
    <m/>
    <m/>
    <m/>
    <x v="1"/>
    <x v="4"/>
    <x v="0"/>
    <x v="2"/>
    <x v="4"/>
    <x v="2"/>
    <x v="3"/>
    <x v="0"/>
    <x v="1"/>
    <x v="1"/>
    <x v="0"/>
    <x v="2"/>
    <x v="0"/>
    <x v="0"/>
    <x v="0"/>
    <x v="2"/>
    <x v="3"/>
    <x v="2"/>
    <x v="2"/>
    <x v="3"/>
    <x v="3"/>
    <x v="2"/>
    <x v="0"/>
    <x v="0"/>
    <x v="0"/>
    <x v="0"/>
  </r>
  <r>
    <m/>
    <x v="3"/>
    <x v="1"/>
    <x v="1"/>
    <m/>
    <m/>
    <m/>
    <x v="3"/>
    <m/>
    <x v="3"/>
    <m/>
    <m/>
    <m/>
    <m/>
    <m/>
    <m/>
    <m/>
    <m/>
    <m/>
    <m/>
    <m/>
    <m/>
    <x v="4"/>
    <x v="1"/>
    <x v="2"/>
    <m/>
    <m/>
    <x v="3"/>
    <m/>
    <m/>
    <m/>
    <m/>
    <m/>
    <m/>
    <x v="3"/>
    <x v="3"/>
    <x v="2"/>
    <x v="5"/>
    <x v="4"/>
    <x v="3"/>
    <x v="5"/>
    <x v="4"/>
    <x v="1"/>
    <x v="3"/>
    <x v="5"/>
    <x v="0"/>
    <x v="3"/>
    <x v="4"/>
    <x v="2"/>
    <x v="2"/>
    <x v="3"/>
    <x v="4"/>
    <x v="0"/>
    <x v="3"/>
    <x v="3"/>
    <x v="0"/>
    <x v="1"/>
    <x v="1"/>
    <x v="1"/>
    <x v="1"/>
  </r>
  <r>
    <m/>
    <x v="3"/>
    <x v="1"/>
    <x v="1"/>
    <m/>
    <m/>
    <m/>
    <x v="0"/>
    <m/>
    <x v="2"/>
    <m/>
    <m/>
    <m/>
    <m/>
    <m/>
    <m/>
    <m/>
    <m/>
    <m/>
    <m/>
    <m/>
    <m/>
    <x v="2"/>
    <x v="0"/>
    <x v="0"/>
    <m/>
    <m/>
    <x v="2"/>
    <m/>
    <m/>
    <m/>
    <m/>
    <m/>
    <m/>
    <x v="0"/>
    <x v="2"/>
    <x v="0"/>
    <x v="1"/>
    <x v="1"/>
    <x v="2"/>
    <x v="0"/>
    <x v="0"/>
    <x v="0"/>
    <x v="1"/>
    <x v="2"/>
    <x v="2"/>
    <x v="0"/>
    <x v="5"/>
    <x v="4"/>
    <x v="0"/>
    <x v="1"/>
    <x v="1"/>
    <x v="1"/>
    <x v="1"/>
    <x v="3"/>
    <x v="0"/>
    <x v="1"/>
    <x v="2"/>
    <x v="2"/>
    <x v="2"/>
  </r>
  <r>
    <m/>
    <x v="3"/>
    <x v="1"/>
    <x v="1"/>
    <m/>
    <m/>
    <m/>
    <x v="0"/>
    <m/>
    <x v="2"/>
    <m/>
    <m/>
    <m/>
    <m/>
    <m/>
    <m/>
    <m/>
    <m/>
    <m/>
    <m/>
    <m/>
    <m/>
    <x v="2"/>
    <x v="0"/>
    <x v="0"/>
    <m/>
    <m/>
    <x v="2"/>
    <m/>
    <m/>
    <m/>
    <m/>
    <m/>
    <m/>
    <x v="0"/>
    <x v="2"/>
    <x v="2"/>
    <x v="2"/>
    <x v="3"/>
    <x v="2"/>
    <x v="3"/>
    <x v="0"/>
    <x v="5"/>
    <x v="1"/>
    <x v="2"/>
    <x v="1"/>
    <x v="0"/>
    <x v="1"/>
    <x v="2"/>
    <x v="0"/>
    <x v="1"/>
    <x v="1"/>
    <x v="1"/>
    <x v="1"/>
    <x v="4"/>
    <x v="0"/>
    <x v="2"/>
    <x v="2"/>
    <x v="1"/>
    <x v="2"/>
  </r>
  <r>
    <m/>
    <x v="3"/>
    <x v="1"/>
    <x v="1"/>
    <m/>
    <m/>
    <m/>
    <x v="1"/>
    <m/>
    <x v="2"/>
    <m/>
    <m/>
    <m/>
    <m/>
    <m/>
    <m/>
    <m/>
    <m/>
    <m/>
    <m/>
    <m/>
    <m/>
    <x v="2"/>
    <x v="0"/>
    <x v="0"/>
    <m/>
    <m/>
    <x v="2"/>
    <m/>
    <m/>
    <m/>
    <m/>
    <m/>
    <m/>
    <x v="0"/>
    <x v="2"/>
    <x v="1"/>
    <x v="3"/>
    <x v="2"/>
    <x v="2"/>
    <x v="3"/>
    <x v="0"/>
    <x v="0"/>
    <x v="1"/>
    <x v="0"/>
    <x v="1"/>
    <x v="2"/>
    <x v="0"/>
    <x v="0"/>
    <x v="0"/>
    <x v="1"/>
    <x v="1"/>
    <x v="1"/>
    <x v="1"/>
    <x v="3"/>
    <x v="2"/>
    <x v="3"/>
    <x v="2"/>
    <x v="3"/>
    <x v="1"/>
  </r>
  <r>
    <m/>
    <x v="3"/>
    <x v="1"/>
    <x v="0"/>
    <m/>
    <m/>
    <m/>
    <x v="0"/>
    <m/>
    <x v="3"/>
    <m/>
    <m/>
    <m/>
    <m/>
    <m/>
    <m/>
    <m/>
    <m/>
    <m/>
    <m/>
    <m/>
    <m/>
    <x v="4"/>
    <x v="0"/>
    <x v="0"/>
    <m/>
    <m/>
    <x v="2"/>
    <m/>
    <m/>
    <m/>
    <m/>
    <m/>
    <m/>
    <x v="0"/>
    <x v="5"/>
    <x v="0"/>
    <x v="2"/>
    <x v="1"/>
    <x v="2"/>
    <x v="0"/>
    <x v="0"/>
    <x v="0"/>
    <x v="1"/>
    <x v="0"/>
    <x v="0"/>
    <x v="5"/>
    <x v="0"/>
    <x v="0"/>
    <x v="0"/>
    <x v="1"/>
    <x v="1"/>
    <x v="1"/>
    <x v="1"/>
    <x v="3"/>
    <x v="3"/>
    <x v="3"/>
    <x v="1"/>
    <x v="3"/>
    <x v="1"/>
  </r>
  <r>
    <m/>
    <x v="3"/>
    <x v="1"/>
    <x v="1"/>
    <m/>
    <m/>
    <m/>
    <x v="0"/>
    <m/>
    <x v="2"/>
    <m/>
    <m/>
    <m/>
    <m/>
    <m/>
    <m/>
    <m/>
    <m/>
    <m/>
    <m/>
    <m/>
    <m/>
    <x v="2"/>
    <x v="0"/>
    <x v="0"/>
    <m/>
    <m/>
    <x v="2"/>
    <m/>
    <m/>
    <m/>
    <m/>
    <m/>
    <m/>
    <x v="0"/>
    <x v="4"/>
    <x v="0"/>
    <x v="2"/>
    <x v="1"/>
    <x v="2"/>
    <x v="0"/>
    <x v="2"/>
    <x v="0"/>
    <x v="1"/>
    <x v="0"/>
    <x v="1"/>
    <x v="0"/>
    <x v="0"/>
    <x v="0"/>
    <x v="0"/>
    <x v="3"/>
    <x v="1"/>
    <x v="1"/>
    <x v="1"/>
    <x v="2"/>
    <x v="3"/>
    <x v="3"/>
    <x v="2"/>
    <x v="1"/>
    <x v="2"/>
  </r>
  <r>
    <m/>
    <x v="3"/>
    <x v="1"/>
    <x v="0"/>
    <m/>
    <m/>
    <m/>
    <x v="0"/>
    <m/>
    <x v="2"/>
    <m/>
    <m/>
    <m/>
    <m/>
    <m/>
    <m/>
    <m/>
    <m/>
    <m/>
    <m/>
    <m/>
    <m/>
    <x v="2"/>
    <x v="0"/>
    <x v="0"/>
    <m/>
    <m/>
    <x v="0"/>
    <m/>
    <m/>
    <m/>
    <m/>
    <m/>
    <m/>
    <x v="0"/>
    <x v="2"/>
    <x v="2"/>
    <x v="1"/>
    <x v="4"/>
    <x v="3"/>
    <x v="3"/>
    <x v="5"/>
    <x v="1"/>
    <x v="3"/>
    <x v="4"/>
    <x v="1"/>
    <x v="0"/>
    <x v="1"/>
    <x v="0"/>
    <x v="3"/>
    <x v="3"/>
    <x v="2"/>
    <x v="2"/>
    <x v="0"/>
    <x v="5"/>
    <x v="2"/>
    <x v="2"/>
    <x v="1"/>
    <x v="3"/>
    <x v="3"/>
  </r>
  <r>
    <m/>
    <x v="3"/>
    <x v="1"/>
    <x v="1"/>
    <m/>
    <m/>
    <m/>
    <x v="0"/>
    <m/>
    <x v="2"/>
    <m/>
    <m/>
    <m/>
    <m/>
    <m/>
    <m/>
    <m/>
    <m/>
    <m/>
    <m/>
    <m/>
    <m/>
    <x v="2"/>
    <x v="3"/>
    <x v="0"/>
    <m/>
    <m/>
    <x v="0"/>
    <m/>
    <m/>
    <m/>
    <m/>
    <m/>
    <m/>
    <x v="1"/>
    <x v="2"/>
    <x v="2"/>
    <x v="1"/>
    <x v="1"/>
    <x v="3"/>
    <x v="3"/>
    <x v="2"/>
    <x v="0"/>
    <x v="1"/>
    <x v="2"/>
    <x v="2"/>
    <x v="0"/>
    <x v="0"/>
    <x v="1"/>
    <x v="0"/>
    <x v="1"/>
    <x v="1"/>
    <x v="1"/>
    <x v="5"/>
    <x v="3"/>
    <x v="3"/>
    <x v="0"/>
    <x v="2"/>
    <x v="1"/>
    <x v="2"/>
  </r>
  <r>
    <m/>
    <x v="3"/>
    <x v="1"/>
    <x v="1"/>
    <m/>
    <m/>
    <m/>
    <x v="3"/>
    <m/>
    <x v="2"/>
    <m/>
    <m/>
    <m/>
    <m/>
    <m/>
    <m/>
    <m/>
    <m/>
    <m/>
    <m/>
    <m/>
    <m/>
    <x v="2"/>
    <x v="0"/>
    <x v="1"/>
    <m/>
    <m/>
    <x v="0"/>
    <m/>
    <m/>
    <m/>
    <m/>
    <m/>
    <m/>
    <x v="1"/>
    <x v="5"/>
    <x v="2"/>
    <x v="5"/>
    <x v="1"/>
    <x v="2"/>
    <x v="3"/>
    <x v="4"/>
    <x v="0"/>
    <x v="5"/>
    <x v="2"/>
    <x v="4"/>
    <x v="4"/>
    <x v="5"/>
    <x v="1"/>
    <x v="4"/>
    <x v="0"/>
    <x v="3"/>
    <x v="1"/>
    <x v="1"/>
    <x v="5"/>
    <x v="5"/>
    <x v="3"/>
    <x v="2"/>
    <x v="2"/>
    <x v="1"/>
  </r>
  <r>
    <m/>
    <x v="3"/>
    <x v="1"/>
    <x v="1"/>
    <m/>
    <m/>
    <m/>
    <x v="0"/>
    <m/>
    <x v="3"/>
    <m/>
    <m/>
    <m/>
    <m/>
    <m/>
    <m/>
    <m/>
    <m/>
    <m/>
    <m/>
    <m/>
    <m/>
    <x v="4"/>
    <x v="0"/>
    <x v="1"/>
    <m/>
    <m/>
    <x v="2"/>
    <m/>
    <m/>
    <m/>
    <m/>
    <m/>
    <m/>
    <x v="1"/>
    <x v="5"/>
    <x v="0"/>
    <x v="1"/>
    <x v="4"/>
    <x v="3"/>
    <x v="3"/>
    <x v="0"/>
    <x v="0"/>
    <x v="3"/>
    <x v="2"/>
    <x v="0"/>
    <x v="3"/>
    <x v="1"/>
    <x v="0"/>
    <x v="0"/>
    <x v="0"/>
    <x v="2"/>
    <x v="1"/>
    <x v="3"/>
    <x v="3"/>
    <x v="3"/>
    <x v="3"/>
    <x v="2"/>
    <x v="2"/>
    <x v="1"/>
  </r>
  <r>
    <m/>
    <x v="3"/>
    <x v="1"/>
    <x v="1"/>
    <m/>
    <m/>
    <m/>
    <x v="2"/>
    <m/>
    <x v="2"/>
    <m/>
    <m/>
    <m/>
    <m/>
    <m/>
    <m/>
    <m/>
    <m/>
    <m/>
    <m/>
    <m/>
    <m/>
    <x v="2"/>
    <x v="0"/>
    <x v="0"/>
    <m/>
    <m/>
    <x v="2"/>
    <m/>
    <m/>
    <m/>
    <m/>
    <m/>
    <m/>
    <x v="0"/>
    <x v="4"/>
    <x v="0"/>
    <x v="1"/>
    <x v="1"/>
    <x v="2"/>
    <x v="3"/>
    <x v="0"/>
    <x v="0"/>
    <x v="1"/>
    <x v="0"/>
    <x v="2"/>
    <x v="0"/>
    <x v="0"/>
    <x v="0"/>
    <x v="0"/>
    <x v="3"/>
    <x v="1"/>
    <x v="2"/>
    <x v="1"/>
    <x v="3"/>
    <x v="0"/>
    <x v="1"/>
    <x v="1"/>
    <x v="2"/>
    <x v="2"/>
  </r>
  <r>
    <m/>
    <x v="3"/>
    <x v="1"/>
    <x v="0"/>
    <m/>
    <m/>
    <m/>
    <x v="0"/>
    <m/>
    <x v="3"/>
    <m/>
    <m/>
    <m/>
    <m/>
    <m/>
    <m/>
    <m/>
    <m/>
    <m/>
    <m/>
    <m/>
    <m/>
    <x v="4"/>
    <x v="0"/>
    <x v="1"/>
    <m/>
    <m/>
    <x v="2"/>
    <m/>
    <m/>
    <m/>
    <m/>
    <m/>
    <m/>
    <x v="0"/>
    <x v="4"/>
    <x v="0"/>
    <x v="2"/>
    <x v="4"/>
    <x v="2"/>
    <x v="3"/>
    <x v="0"/>
    <x v="0"/>
    <x v="3"/>
    <x v="0"/>
    <x v="1"/>
    <x v="0"/>
    <x v="0"/>
    <x v="0"/>
    <x v="0"/>
    <x v="3"/>
    <x v="4"/>
    <x v="1"/>
    <x v="1"/>
    <x v="4"/>
    <x v="3"/>
    <x v="3"/>
    <x v="2"/>
    <x v="3"/>
    <x v="1"/>
  </r>
  <r>
    <m/>
    <x v="3"/>
    <x v="1"/>
    <x v="1"/>
    <m/>
    <m/>
    <m/>
    <x v="0"/>
    <m/>
    <x v="2"/>
    <m/>
    <m/>
    <m/>
    <m/>
    <m/>
    <m/>
    <m/>
    <m/>
    <m/>
    <m/>
    <m/>
    <m/>
    <x v="2"/>
    <x v="0"/>
    <x v="1"/>
    <m/>
    <m/>
    <x v="2"/>
    <m/>
    <m/>
    <m/>
    <m/>
    <m/>
    <m/>
    <x v="1"/>
    <x v="4"/>
    <x v="0"/>
    <x v="1"/>
    <x v="4"/>
    <x v="2"/>
    <x v="0"/>
    <x v="0"/>
    <x v="0"/>
    <x v="1"/>
    <x v="2"/>
    <x v="0"/>
    <x v="0"/>
    <x v="0"/>
    <x v="0"/>
    <x v="2"/>
    <x v="3"/>
    <x v="2"/>
    <x v="2"/>
    <x v="1"/>
    <x v="4"/>
    <x v="3"/>
    <x v="3"/>
    <x v="2"/>
    <x v="1"/>
    <x v="1"/>
  </r>
  <r>
    <m/>
    <x v="3"/>
    <x v="1"/>
    <x v="1"/>
    <m/>
    <m/>
    <m/>
    <x v="2"/>
    <m/>
    <x v="0"/>
    <m/>
    <m/>
    <m/>
    <m/>
    <m/>
    <m/>
    <m/>
    <m/>
    <m/>
    <m/>
    <m/>
    <m/>
    <x v="5"/>
    <x v="0"/>
    <x v="4"/>
    <m/>
    <m/>
    <x v="3"/>
    <m/>
    <m/>
    <m/>
    <m/>
    <m/>
    <m/>
    <x v="2"/>
    <x v="0"/>
    <x v="4"/>
    <x v="0"/>
    <x v="0"/>
    <x v="1"/>
    <x v="1"/>
    <x v="3"/>
    <x v="4"/>
    <x v="0"/>
    <x v="4"/>
    <x v="1"/>
    <x v="1"/>
    <x v="3"/>
    <x v="2"/>
    <x v="3"/>
    <x v="2"/>
    <x v="3"/>
    <x v="4"/>
    <x v="0"/>
    <x v="5"/>
    <x v="2"/>
    <x v="0"/>
    <x v="1"/>
    <x v="1"/>
    <x v="0"/>
  </r>
  <r>
    <m/>
    <x v="3"/>
    <x v="1"/>
    <x v="0"/>
    <m/>
    <m/>
    <m/>
    <x v="1"/>
    <m/>
    <x v="1"/>
    <m/>
    <m/>
    <m/>
    <m/>
    <m/>
    <m/>
    <m/>
    <m/>
    <m/>
    <m/>
    <m/>
    <m/>
    <x v="3"/>
    <x v="6"/>
    <x v="3"/>
    <m/>
    <m/>
    <x v="1"/>
    <m/>
    <m/>
    <m/>
    <m/>
    <m/>
    <m/>
    <x v="2"/>
    <x v="3"/>
    <x v="2"/>
    <x v="3"/>
    <x v="2"/>
    <x v="1"/>
    <x v="3"/>
    <x v="1"/>
    <x v="2"/>
    <x v="2"/>
    <x v="1"/>
    <x v="5"/>
    <x v="1"/>
    <x v="2"/>
    <x v="0"/>
    <x v="0"/>
    <x v="5"/>
    <x v="2"/>
    <x v="2"/>
    <x v="2"/>
    <x v="5"/>
    <x v="3"/>
    <x v="3"/>
    <x v="1"/>
    <x v="3"/>
    <x v="1"/>
  </r>
  <r>
    <m/>
    <x v="3"/>
    <x v="3"/>
    <x v="0"/>
    <m/>
    <m/>
    <m/>
    <x v="2"/>
    <m/>
    <x v="2"/>
    <m/>
    <m/>
    <m/>
    <m/>
    <m/>
    <m/>
    <m/>
    <m/>
    <m/>
    <m/>
    <m/>
    <m/>
    <x v="2"/>
    <x v="4"/>
    <x v="1"/>
    <m/>
    <m/>
    <x v="0"/>
    <m/>
    <m/>
    <m/>
    <m/>
    <m/>
    <m/>
    <x v="0"/>
    <x v="4"/>
    <x v="2"/>
    <x v="2"/>
    <x v="1"/>
    <x v="4"/>
    <x v="3"/>
    <x v="0"/>
    <x v="0"/>
    <x v="3"/>
    <x v="2"/>
    <x v="0"/>
    <x v="0"/>
    <x v="1"/>
    <x v="2"/>
    <x v="0"/>
    <x v="0"/>
    <x v="4"/>
    <x v="4"/>
    <x v="3"/>
    <x v="5"/>
    <x v="3"/>
    <x v="1"/>
    <x v="1"/>
    <x v="1"/>
    <x v="2"/>
  </r>
  <r>
    <m/>
    <x v="3"/>
    <x v="3"/>
    <x v="0"/>
    <m/>
    <m/>
    <m/>
    <x v="0"/>
    <m/>
    <x v="2"/>
    <m/>
    <m/>
    <m/>
    <m/>
    <m/>
    <m/>
    <m/>
    <m/>
    <m/>
    <m/>
    <m/>
    <m/>
    <x v="2"/>
    <x v="0"/>
    <x v="0"/>
    <m/>
    <m/>
    <x v="2"/>
    <m/>
    <m/>
    <m/>
    <m/>
    <m/>
    <m/>
    <x v="0"/>
    <x v="2"/>
    <x v="0"/>
    <x v="1"/>
    <x v="1"/>
    <x v="2"/>
    <x v="0"/>
    <x v="0"/>
    <x v="0"/>
    <x v="1"/>
    <x v="2"/>
    <x v="2"/>
    <x v="2"/>
    <x v="0"/>
    <x v="0"/>
    <x v="0"/>
    <x v="3"/>
    <x v="1"/>
    <x v="2"/>
    <x v="1"/>
    <x v="2"/>
    <x v="0"/>
    <x v="2"/>
    <x v="2"/>
    <x v="1"/>
    <x v="2"/>
  </r>
  <r>
    <m/>
    <x v="3"/>
    <x v="3"/>
    <x v="0"/>
    <m/>
    <m/>
    <m/>
    <x v="0"/>
    <m/>
    <x v="3"/>
    <m/>
    <m/>
    <m/>
    <m/>
    <m/>
    <m/>
    <m/>
    <m/>
    <m/>
    <m/>
    <m/>
    <m/>
    <x v="4"/>
    <x v="0"/>
    <x v="0"/>
    <m/>
    <m/>
    <x v="2"/>
    <m/>
    <m/>
    <m/>
    <m/>
    <m/>
    <m/>
    <x v="0"/>
    <x v="0"/>
    <x v="2"/>
    <x v="1"/>
    <x v="0"/>
    <x v="2"/>
    <x v="3"/>
    <x v="0"/>
    <x v="0"/>
    <x v="1"/>
    <x v="0"/>
    <x v="1"/>
    <x v="3"/>
    <x v="1"/>
    <x v="0"/>
    <x v="0"/>
    <x v="4"/>
    <x v="2"/>
    <x v="1"/>
    <x v="3"/>
    <x v="3"/>
    <x v="3"/>
    <x v="1"/>
    <x v="1"/>
    <x v="3"/>
    <x v="1"/>
  </r>
  <r>
    <m/>
    <x v="3"/>
    <x v="3"/>
    <x v="2"/>
    <m/>
    <m/>
    <m/>
    <x v="0"/>
    <m/>
    <x v="2"/>
    <m/>
    <m/>
    <m/>
    <m/>
    <m/>
    <m/>
    <m/>
    <m/>
    <m/>
    <m/>
    <m/>
    <m/>
    <x v="2"/>
    <x v="0"/>
    <x v="1"/>
    <m/>
    <m/>
    <x v="2"/>
    <m/>
    <m/>
    <m/>
    <m/>
    <m/>
    <m/>
    <x v="1"/>
    <x v="0"/>
    <x v="0"/>
    <x v="1"/>
    <x v="4"/>
    <x v="2"/>
    <x v="3"/>
    <x v="0"/>
    <x v="1"/>
    <x v="0"/>
    <x v="4"/>
    <x v="3"/>
    <x v="0"/>
    <x v="1"/>
    <x v="0"/>
    <x v="3"/>
    <x v="2"/>
    <x v="1"/>
    <x v="0"/>
    <x v="1"/>
    <x v="2"/>
    <x v="2"/>
    <x v="2"/>
    <x v="2"/>
    <x v="3"/>
    <x v="1"/>
  </r>
  <r>
    <m/>
    <x v="3"/>
    <x v="0"/>
    <x v="1"/>
    <m/>
    <m/>
    <m/>
    <x v="0"/>
    <m/>
    <x v="3"/>
    <m/>
    <m/>
    <m/>
    <m/>
    <m/>
    <m/>
    <m/>
    <m/>
    <m/>
    <m/>
    <m/>
    <m/>
    <x v="4"/>
    <x v="0"/>
    <x v="0"/>
    <m/>
    <m/>
    <x v="0"/>
    <m/>
    <m/>
    <m/>
    <m/>
    <m/>
    <m/>
    <x v="0"/>
    <x v="2"/>
    <x v="0"/>
    <x v="2"/>
    <x v="1"/>
    <x v="2"/>
    <x v="3"/>
    <x v="0"/>
    <x v="0"/>
    <x v="1"/>
    <x v="0"/>
    <x v="2"/>
    <x v="2"/>
    <x v="0"/>
    <x v="1"/>
    <x v="0"/>
    <x v="1"/>
    <x v="1"/>
    <x v="2"/>
    <x v="1"/>
    <x v="2"/>
    <x v="3"/>
    <x v="1"/>
    <x v="2"/>
    <x v="1"/>
    <x v="1"/>
  </r>
  <r>
    <m/>
    <x v="3"/>
    <x v="0"/>
    <x v="1"/>
    <m/>
    <m/>
    <m/>
    <x v="0"/>
    <m/>
    <x v="2"/>
    <m/>
    <m/>
    <m/>
    <m/>
    <m/>
    <m/>
    <m/>
    <m/>
    <m/>
    <m/>
    <m/>
    <m/>
    <x v="2"/>
    <x v="0"/>
    <x v="0"/>
    <m/>
    <m/>
    <x v="2"/>
    <m/>
    <m/>
    <m/>
    <m/>
    <m/>
    <m/>
    <x v="0"/>
    <x v="2"/>
    <x v="4"/>
    <x v="1"/>
    <x v="1"/>
    <x v="2"/>
    <x v="0"/>
    <x v="0"/>
    <x v="0"/>
    <x v="1"/>
    <x v="0"/>
    <x v="2"/>
    <x v="2"/>
    <x v="3"/>
    <x v="1"/>
    <x v="3"/>
    <x v="1"/>
    <x v="1"/>
    <x v="2"/>
    <x v="1"/>
    <x v="5"/>
    <x v="3"/>
    <x v="1"/>
    <x v="2"/>
    <x v="1"/>
    <x v="3"/>
  </r>
  <r>
    <m/>
    <x v="3"/>
    <x v="4"/>
    <x v="1"/>
    <m/>
    <m/>
    <m/>
    <x v="0"/>
    <m/>
    <x v="2"/>
    <m/>
    <m/>
    <m/>
    <m/>
    <m/>
    <m/>
    <m/>
    <m/>
    <m/>
    <m/>
    <m/>
    <m/>
    <x v="2"/>
    <x v="0"/>
    <x v="0"/>
    <m/>
    <m/>
    <x v="2"/>
    <m/>
    <m/>
    <m/>
    <m/>
    <m/>
    <m/>
    <x v="1"/>
    <x v="4"/>
    <x v="2"/>
    <x v="3"/>
    <x v="4"/>
    <x v="2"/>
    <x v="3"/>
    <x v="2"/>
    <x v="1"/>
    <x v="3"/>
    <x v="3"/>
    <x v="3"/>
    <x v="1"/>
    <x v="1"/>
    <x v="2"/>
    <x v="2"/>
    <x v="2"/>
    <x v="1"/>
    <x v="0"/>
    <x v="2"/>
    <x v="3"/>
    <x v="4"/>
    <x v="2"/>
    <x v="2"/>
    <x v="1"/>
    <x v="3"/>
  </r>
  <r>
    <m/>
    <x v="3"/>
    <x v="4"/>
    <x v="1"/>
    <m/>
    <m/>
    <m/>
    <x v="0"/>
    <m/>
    <x v="3"/>
    <m/>
    <m/>
    <m/>
    <m/>
    <m/>
    <m/>
    <m/>
    <m/>
    <m/>
    <m/>
    <m/>
    <m/>
    <x v="4"/>
    <x v="0"/>
    <x v="0"/>
    <m/>
    <m/>
    <x v="2"/>
    <m/>
    <m/>
    <m/>
    <m/>
    <m/>
    <m/>
    <x v="0"/>
    <x v="0"/>
    <x v="2"/>
    <x v="2"/>
    <x v="1"/>
    <x v="2"/>
    <x v="0"/>
    <x v="0"/>
    <x v="1"/>
    <x v="3"/>
    <x v="2"/>
    <x v="1"/>
    <x v="0"/>
    <x v="0"/>
    <x v="0"/>
    <x v="0"/>
    <x v="3"/>
    <x v="1"/>
    <x v="0"/>
    <x v="1"/>
    <x v="2"/>
    <x v="3"/>
    <x v="2"/>
    <x v="2"/>
    <x v="1"/>
    <x v="1"/>
  </r>
  <r>
    <m/>
    <x v="3"/>
    <x v="4"/>
    <x v="1"/>
    <m/>
    <m/>
    <m/>
    <x v="0"/>
    <m/>
    <x v="2"/>
    <m/>
    <m/>
    <m/>
    <m/>
    <m/>
    <m/>
    <m/>
    <m/>
    <m/>
    <m/>
    <m/>
    <m/>
    <x v="2"/>
    <x v="0"/>
    <x v="0"/>
    <m/>
    <m/>
    <x v="2"/>
    <m/>
    <m/>
    <m/>
    <m/>
    <m/>
    <m/>
    <x v="0"/>
    <x v="2"/>
    <x v="0"/>
    <x v="1"/>
    <x v="1"/>
    <x v="2"/>
    <x v="0"/>
    <x v="0"/>
    <x v="0"/>
    <x v="1"/>
    <x v="0"/>
    <x v="5"/>
    <x v="1"/>
    <x v="2"/>
    <x v="4"/>
    <x v="0"/>
    <x v="2"/>
    <x v="2"/>
    <x v="2"/>
    <x v="3"/>
    <x v="4"/>
    <x v="2"/>
    <x v="2"/>
    <x v="2"/>
    <x v="3"/>
    <x v="2"/>
  </r>
  <r>
    <m/>
    <x v="3"/>
    <x v="4"/>
    <x v="1"/>
    <m/>
    <m/>
    <m/>
    <x v="0"/>
    <m/>
    <x v="3"/>
    <m/>
    <m/>
    <m/>
    <m/>
    <m/>
    <m/>
    <m/>
    <m/>
    <m/>
    <m/>
    <m/>
    <m/>
    <x v="4"/>
    <x v="0"/>
    <x v="1"/>
    <m/>
    <m/>
    <x v="2"/>
    <m/>
    <m/>
    <m/>
    <m/>
    <m/>
    <m/>
    <x v="0"/>
    <x v="2"/>
    <x v="0"/>
    <x v="2"/>
    <x v="4"/>
    <x v="2"/>
    <x v="3"/>
    <x v="0"/>
    <x v="1"/>
    <x v="0"/>
    <x v="0"/>
    <x v="3"/>
    <x v="2"/>
    <x v="1"/>
    <x v="0"/>
    <x v="0"/>
    <x v="3"/>
    <x v="1"/>
    <x v="2"/>
    <x v="1"/>
    <x v="3"/>
    <x v="2"/>
    <x v="2"/>
    <x v="1"/>
    <x v="1"/>
    <x v="1"/>
  </r>
  <r>
    <m/>
    <x v="3"/>
    <x v="4"/>
    <x v="1"/>
    <m/>
    <m/>
    <m/>
    <x v="3"/>
    <m/>
    <x v="0"/>
    <m/>
    <m/>
    <m/>
    <m/>
    <m/>
    <m/>
    <m/>
    <m/>
    <m/>
    <m/>
    <m/>
    <m/>
    <x v="5"/>
    <x v="0"/>
    <x v="1"/>
    <m/>
    <m/>
    <x v="2"/>
    <m/>
    <m/>
    <m/>
    <m/>
    <m/>
    <m/>
    <x v="0"/>
    <x v="2"/>
    <x v="2"/>
    <x v="2"/>
    <x v="4"/>
    <x v="4"/>
    <x v="3"/>
    <x v="0"/>
    <x v="1"/>
    <x v="0"/>
    <x v="0"/>
    <x v="3"/>
    <x v="3"/>
    <x v="4"/>
    <x v="0"/>
    <x v="2"/>
    <x v="1"/>
    <x v="1"/>
    <x v="1"/>
    <x v="1"/>
    <x v="2"/>
    <x v="2"/>
    <x v="2"/>
    <x v="2"/>
    <x v="1"/>
    <x v="1"/>
  </r>
  <r>
    <m/>
    <x v="3"/>
    <x v="0"/>
    <x v="1"/>
    <m/>
    <m/>
    <m/>
    <x v="0"/>
    <m/>
    <x v="2"/>
    <m/>
    <m/>
    <m/>
    <m/>
    <m/>
    <m/>
    <m/>
    <m/>
    <m/>
    <m/>
    <m/>
    <m/>
    <x v="2"/>
    <x v="0"/>
    <x v="0"/>
    <m/>
    <m/>
    <x v="2"/>
    <m/>
    <m/>
    <m/>
    <m/>
    <m/>
    <m/>
    <x v="0"/>
    <x v="0"/>
    <x v="0"/>
    <x v="1"/>
    <x v="1"/>
    <x v="2"/>
    <x v="0"/>
    <x v="0"/>
    <x v="0"/>
    <x v="1"/>
    <x v="0"/>
    <x v="2"/>
    <x v="2"/>
    <x v="0"/>
    <x v="1"/>
    <x v="0"/>
    <x v="1"/>
    <x v="1"/>
    <x v="1"/>
    <x v="1"/>
    <x v="2"/>
    <x v="2"/>
    <x v="1"/>
    <x v="1"/>
    <x v="3"/>
    <x v="1"/>
  </r>
  <r>
    <m/>
    <x v="3"/>
    <x v="4"/>
    <x v="1"/>
    <m/>
    <m/>
    <m/>
    <x v="1"/>
    <m/>
    <x v="3"/>
    <m/>
    <m/>
    <m/>
    <m/>
    <m/>
    <m/>
    <m/>
    <m/>
    <m/>
    <m/>
    <m/>
    <m/>
    <x v="4"/>
    <x v="6"/>
    <x v="3"/>
    <m/>
    <m/>
    <x v="1"/>
    <m/>
    <m/>
    <m/>
    <m/>
    <m/>
    <m/>
    <x v="5"/>
    <x v="1"/>
    <x v="1"/>
    <x v="2"/>
    <x v="2"/>
    <x v="1"/>
    <x v="1"/>
    <x v="1"/>
    <x v="2"/>
    <x v="2"/>
    <x v="1"/>
    <x v="1"/>
    <x v="1"/>
    <x v="2"/>
    <x v="4"/>
    <x v="1"/>
    <x v="1"/>
    <x v="5"/>
    <x v="5"/>
    <x v="5"/>
    <x v="1"/>
    <x v="1"/>
    <x v="2"/>
    <x v="2"/>
    <x v="1"/>
    <x v="2"/>
  </r>
  <r>
    <m/>
    <x v="3"/>
    <x v="0"/>
    <x v="0"/>
    <m/>
    <m/>
    <m/>
    <x v="0"/>
    <m/>
    <x v="2"/>
    <m/>
    <m/>
    <m/>
    <m/>
    <m/>
    <m/>
    <m/>
    <m/>
    <m/>
    <m/>
    <m/>
    <m/>
    <x v="2"/>
    <x v="0"/>
    <x v="0"/>
    <m/>
    <m/>
    <x v="2"/>
    <m/>
    <m/>
    <m/>
    <m/>
    <m/>
    <m/>
    <x v="0"/>
    <x v="2"/>
    <x v="0"/>
    <x v="1"/>
    <x v="1"/>
    <x v="2"/>
    <x v="0"/>
    <x v="0"/>
    <x v="0"/>
    <x v="1"/>
    <x v="0"/>
    <x v="2"/>
    <x v="2"/>
    <x v="0"/>
    <x v="1"/>
    <x v="0"/>
    <x v="1"/>
    <x v="1"/>
    <x v="1"/>
    <x v="1"/>
    <x v="2"/>
    <x v="0"/>
    <x v="3"/>
    <x v="2"/>
    <x v="1"/>
    <x v="2"/>
  </r>
  <r>
    <m/>
    <x v="3"/>
    <x v="0"/>
    <x v="0"/>
    <m/>
    <m/>
    <m/>
    <x v="0"/>
    <m/>
    <x v="3"/>
    <m/>
    <m/>
    <m/>
    <m/>
    <m/>
    <m/>
    <m/>
    <m/>
    <m/>
    <m/>
    <m/>
    <m/>
    <x v="4"/>
    <x v="1"/>
    <x v="1"/>
    <m/>
    <m/>
    <x v="2"/>
    <m/>
    <m/>
    <m/>
    <m/>
    <m/>
    <m/>
    <x v="1"/>
    <x v="4"/>
    <x v="0"/>
    <x v="1"/>
    <x v="4"/>
    <x v="2"/>
    <x v="5"/>
    <x v="0"/>
    <x v="1"/>
    <x v="1"/>
    <x v="4"/>
    <x v="2"/>
    <x v="2"/>
    <x v="0"/>
    <x v="1"/>
    <x v="0"/>
    <x v="3"/>
    <x v="1"/>
    <x v="2"/>
    <x v="1"/>
    <x v="2"/>
    <x v="0"/>
    <x v="1"/>
    <x v="2"/>
    <x v="2"/>
    <x v="2"/>
  </r>
  <r>
    <m/>
    <x v="3"/>
    <x v="0"/>
    <x v="1"/>
    <m/>
    <m/>
    <m/>
    <x v="0"/>
    <m/>
    <x v="2"/>
    <m/>
    <m/>
    <m/>
    <m/>
    <m/>
    <m/>
    <m/>
    <m/>
    <m/>
    <m/>
    <m/>
    <m/>
    <x v="2"/>
    <x v="0"/>
    <x v="0"/>
    <m/>
    <m/>
    <x v="2"/>
    <m/>
    <m/>
    <m/>
    <m/>
    <m/>
    <m/>
    <x v="0"/>
    <x v="2"/>
    <x v="0"/>
    <x v="1"/>
    <x v="1"/>
    <x v="2"/>
    <x v="3"/>
    <x v="0"/>
    <x v="0"/>
    <x v="1"/>
    <x v="0"/>
    <x v="2"/>
    <x v="2"/>
    <x v="0"/>
    <x v="0"/>
    <x v="0"/>
    <x v="1"/>
    <x v="1"/>
    <x v="1"/>
    <x v="1"/>
    <x v="3"/>
    <x v="0"/>
    <x v="1"/>
    <x v="2"/>
    <x v="1"/>
    <x v="2"/>
  </r>
  <r>
    <m/>
    <x v="3"/>
    <x v="0"/>
    <x v="0"/>
    <m/>
    <m/>
    <m/>
    <x v="0"/>
    <m/>
    <x v="3"/>
    <m/>
    <m/>
    <m/>
    <m/>
    <m/>
    <m/>
    <m/>
    <m/>
    <m/>
    <m/>
    <m/>
    <m/>
    <x v="4"/>
    <x v="0"/>
    <x v="0"/>
    <m/>
    <m/>
    <x v="2"/>
    <m/>
    <m/>
    <m/>
    <m/>
    <m/>
    <m/>
    <x v="0"/>
    <x v="2"/>
    <x v="0"/>
    <x v="1"/>
    <x v="1"/>
    <x v="2"/>
    <x v="3"/>
    <x v="0"/>
    <x v="0"/>
    <x v="1"/>
    <x v="0"/>
    <x v="1"/>
    <x v="2"/>
    <x v="0"/>
    <x v="0"/>
    <x v="0"/>
    <x v="1"/>
    <x v="1"/>
    <x v="1"/>
    <x v="1"/>
    <x v="2"/>
    <x v="3"/>
    <x v="2"/>
    <x v="2"/>
    <x v="3"/>
    <x v="2"/>
  </r>
  <r>
    <m/>
    <x v="3"/>
    <x v="0"/>
    <x v="1"/>
    <m/>
    <m/>
    <m/>
    <x v="0"/>
    <m/>
    <x v="5"/>
    <m/>
    <m/>
    <m/>
    <m/>
    <m/>
    <m/>
    <m/>
    <m/>
    <m/>
    <m/>
    <m/>
    <m/>
    <x v="0"/>
    <x v="0"/>
    <x v="0"/>
    <m/>
    <m/>
    <x v="2"/>
    <m/>
    <m/>
    <m/>
    <m/>
    <m/>
    <m/>
    <x v="0"/>
    <x v="0"/>
    <x v="0"/>
    <x v="2"/>
    <x v="1"/>
    <x v="2"/>
    <x v="0"/>
    <x v="0"/>
    <x v="0"/>
    <x v="0"/>
    <x v="0"/>
    <x v="1"/>
    <x v="2"/>
    <x v="0"/>
    <x v="1"/>
    <x v="0"/>
    <x v="1"/>
    <x v="2"/>
    <x v="1"/>
    <x v="1"/>
    <x v="3"/>
    <x v="2"/>
    <x v="2"/>
    <x v="1"/>
    <x v="3"/>
    <x v="2"/>
  </r>
  <r>
    <m/>
    <x v="3"/>
    <x v="0"/>
    <x v="1"/>
    <m/>
    <m/>
    <m/>
    <x v="0"/>
    <m/>
    <x v="3"/>
    <m/>
    <m/>
    <m/>
    <m/>
    <m/>
    <m/>
    <m/>
    <m/>
    <m/>
    <m/>
    <m/>
    <m/>
    <x v="4"/>
    <x v="1"/>
    <x v="0"/>
    <m/>
    <m/>
    <x v="2"/>
    <m/>
    <m/>
    <m/>
    <m/>
    <m/>
    <m/>
    <x v="0"/>
    <x v="2"/>
    <x v="0"/>
    <x v="1"/>
    <x v="1"/>
    <x v="2"/>
    <x v="0"/>
    <x v="0"/>
    <x v="0"/>
    <x v="1"/>
    <x v="0"/>
    <x v="2"/>
    <x v="2"/>
    <x v="0"/>
    <x v="2"/>
    <x v="0"/>
    <x v="3"/>
    <x v="1"/>
    <x v="1"/>
    <x v="1"/>
    <x v="4"/>
    <x v="2"/>
    <x v="1"/>
    <x v="2"/>
    <x v="2"/>
    <x v="1"/>
  </r>
  <r>
    <m/>
    <x v="3"/>
    <x v="0"/>
    <x v="1"/>
    <m/>
    <m/>
    <m/>
    <x v="0"/>
    <m/>
    <x v="2"/>
    <m/>
    <m/>
    <m/>
    <m/>
    <m/>
    <m/>
    <m/>
    <m/>
    <m/>
    <m/>
    <m/>
    <m/>
    <x v="2"/>
    <x v="0"/>
    <x v="0"/>
    <m/>
    <m/>
    <x v="2"/>
    <m/>
    <m/>
    <m/>
    <m/>
    <m/>
    <m/>
    <x v="0"/>
    <x v="2"/>
    <x v="0"/>
    <x v="1"/>
    <x v="1"/>
    <x v="2"/>
    <x v="0"/>
    <x v="0"/>
    <x v="0"/>
    <x v="1"/>
    <x v="0"/>
    <x v="2"/>
    <x v="2"/>
    <x v="0"/>
    <x v="2"/>
    <x v="0"/>
    <x v="1"/>
    <x v="1"/>
    <x v="1"/>
    <x v="1"/>
    <x v="5"/>
    <x v="0"/>
    <x v="2"/>
    <x v="2"/>
    <x v="3"/>
    <x v="2"/>
  </r>
  <r>
    <m/>
    <x v="3"/>
    <x v="0"/>
    <x v="1"/>
    <m/>
    <m/>
    <m/>
    <x v="0"/>
    <m/>
    <x v="2"/>
    <m/>
    <m/>
    <m/>
    <m/>
    <m/>
    <m/>
    <m/>
    <m/>
    <m/>
    <m/>
    <m/>
    <m/>
    <x v="2"/>
    <x v="1"/>
    <x v="0"/>
    <m/>
    <m/>
    <x v="2"/>
    <m/>
    <m/>
    <m/>
    <m/>
    <m/>
    <m/>
    <x v="0"/>
    <x v="2"/>
    <x v="0"/>
    <x v="1"/>
    <x v="1"/>
    <x v="2"/>
    <x v="0"/>
    <x v="0"/>
    <x v="0"/>
    <x v="1"/>
    <x v="0"/>
    <x v="2"/>
    <x v="2"/>
    <x v="0"/>
    <x v="3"/>
    <x v="0"/>
    <x v="1"/>
    <x v="1"/>
    <x v="3"/>
    <x v="1"/>
    <x v="2"/>
    <x v="0"/>
    <x v="1"/>
    <x v="2"/>
    <x v="1"/>
    <x v="2"/>
  </r>
  <r>
    <m/>
    <x v="3"/>
    <x v="0"/>
    <x v="0"/>
    <m/>
    <m/>
    <m/>
    <x v="0"/>
    <m/>
    <x v="2"/>
    <m/>
    <m/>
    <m/>
    <m/>
    <m/>
    <m/>
    <m/>
    <m/>
    <m/>
    <m/>
    <m/>
    <m/>
    <x v="2"/>
    <x v="0"/>
    <x v="0"/>
    <m/>
    <m/>
    <x v="2"/>
    <m/>
    <m/>
    <m/>
    <m/>
    <m/>
    <m/>
    <x v="0"/>
    <x v="2"/>
    <x v="0"/>
    <x v="1"/>
    <x v="1"/>
    <x v="2"/>
    <x v="0"/>
    <x v="0"/>
    <x v="0"/>
    <x v="1"/>
    <x v="0"/>
    <x v="2"/>
    <x v="0"/>
    <x v="0"/>
    <x v="0"/>
    <x v="0"/>
    <x v="1"/>
    <x v="1"/>
    <x v="1"/>
    <x v="1"/>
    <x v="4"/>
    <x v="0"/>
    <x v="1"/>
    <x v="2"/>
    <x v="3"/>
    <x v="1"/>
  </r>
  <r>
    <m/>
    <x v="3"/>
    <x v="4"/>
    <x v="1"/>
    <m/>
    <m/>
    <m/>
    <x v="0"/>
    <m/>
    <x v="3"/>
    <m/>
    <m/>
    <m/>
    <m/>
    <m/>
    <m/>
    <m/>
    <m/>
    <m/>
    <m/>
    <m/>
    <m/>
    <x v="4"/>
    <x v="0"/>
    <x v="0"/>
    <m/>
    <m/>
    <x v="0"/>
    <m/>
    <m/>
    <m/>
    <m/>
    <m/>
    <m/>
    <x v="1"/>
    <x v="3"/>
    <x v="0"/>
    <x v="2"/>
    <x v="4"/>
    <x v="3"/>
    <x v="0"/>
    <x v="0"/>
    <x v="0"/>
    <x v="1"/>
    <x v="2"/>
    <x v="1"/>
    <x v="0"/>
    <x v="0"/>
    <x v="0"/>
    <x v="1"/>
    <x v="1"/>
    <x v="1"/>
    <x v="1"/>
    <x v="1"/>
    <x v="4"/>
    <x v="4"/>
    <x v="1"/>
    <x v="2"/>
    <x v="3"/>
    <x v="1"/>
  </r>
  <r>
    <m/>
    <x v="3"/>
    <x v="1"/>
    <x v="0"/>
    <m/>
    <m/>
    <m/>
    <x v="0"/>
    <m/>
    <x v="1"/>
    <m/>
    <m/>
    <m/>
    <m/>
    <m/>
    <m/>
    <m/>
    <m/>
    <m/>
    <m/>
    <m/>
    <m/>
    <x v="3"/>
    <x v="0"/>
    <x v="0"/>
    <m/>
    <m/>
    <x v="2"/>
    <m/>
    <m/>
    <m/>
    <m/>
    <m/>
    <m/>
    <x v="0"/>
    <x v="4"/>
    <x v="0"/>
    <x v="1"/>
    <x v="4"/>
    <x v="2"/>
    <x v="0"/>
    <x v="0"/>
    <x v="0"/>
    <x v="3"/>
    <x v="1"/>
    <x v="1"/>
    <x v="2"/>
    <x v="3"/>
    <x v="0"/>
    <x v="0"/>
    <x v="3"/>
    <x v="2"/>
    <x v="2"/>
    <x v="1"/>
    <x v="3"/>
    <x v="5"/>
    <x v="3"/>
    <x v="0"/>
    <x v="1"/>
    <x v="1"/>
  </r>
  <r>
    <m/>
    <x v="3"/>
    <x v="1"/>
    <x v="0"/>
    <m/>
    <m/>
    <m/>
    <x v="0"/>
    <m/>
    <x v="2"/>
    <m/>
    <m/>
    <m/>
    <m/>
    <m/>
    <m/>
    <m/>
    <m/>
    <m/>
    <m/>
    <m/>
    <m/>
    <x v="2"/>
    <x v="0"/>
    <x v="0"/>
    <m/>
    <m/>
    <x v="2"/>
    <m/>
    <m/>
    <m/>
    <m/>
    <m/>
    <m/>
    <x v="0"/>
    <x v="2"/>
    <x v="0"/>
    <x v="1"/>
    <x v="1"/>
    <x v="2"/>
    <x v="0"/>
    <x v="0"/>
    <x v="0"/>
    <x v="1"/>
    <x v="0"/>
    <x v="2"/>
    <x v="2"/>
    <x v="0"/>
    <x v="0"/>
    <x v="0"/>
    <x v="1"/>
    <x v="1"/>
    <x v="4"/>
    <x v="1"/>
    <x v="5"/>
    <x v="0"/>
    <x v="1"/>
    <x v="2"/>
    <x v="3"/>
    <x v="1"/>
  </r>
  <r>
    <m/>
    <x v="3"/>
    <x v="1"/>
    <x v="0"/>
    <m/>
    <m/>
    <m/>
    <x v="0"/>
    <m/>
    <x v="3"/>
    <m/>
    <m/>
    <m/>
    <m/>
    <m/>
    <m/>
    <m/>
    <m/>
    <m/>
    <m/>
    <m/>
    <m/>
    <x v="4"/>
    <x v="0"/>
    <x v="0"/>
    <m/>
    <m/>
    <x v="2"/>
    <m/>
    <m/>
    <m/>
    <m/>
    <m/>
    <m/>
    <x v="0"/>
    <x v="2"/>
    <x v="2"/>
    <x v="2"/>
    <x v="1"/>
    <x v="3"/>
    <x v="0"/>
    <x v="0"/>
    <x v="0"/>
    <x v="1"/>
    <x v="0"/>
    <x v="0"/>
    <x v="5"/>
    <x v="0"/>
    <x v="1"/>
    <x v="0"/>
    <x v="1"/>
    <x v="1"/>
    <x v="1"/>
    <x v="1"/>
    <x v="3"/>
    <x v="3"/>
    <x v="1"/>
    <x v="1"/>
    <x v="3"/>
    <x v="1"/>
  </r>
  <r>
    <m/>
    <x v="3"/>
    <x v="1"/>
    <x v="0"/>
    <m/>
    <m/>
    <m/>
    <x v="0"/>
    <m/>
    <x v="3"/>
    <m/>
    <m/>
    <m/>
    <m/>
    <m/>
    <m/>
    <m/>
    <m/>
    <m/>
    <m/>
    <m/>
    <m/>
    <x v="4"/>
    <x v="0"/>
    <x v="4"/>
    <m/>
    <m/>
    <x v="2"/>
    <m/>
    <m/>
    <m/>
    <m/>
    <m/>
    <m/>
    <x v="1"/>
    <x v="4"/>
    <x v="0"/>
    <x v="2"/>
    <x v="4"/>
    <x v="3"/>
    <x v="3"/>
    <x v="2"/>
    <x v="2"/>
    <x v="1"/>
    <x v="5"/>
    <x v="1"/>
    <x v="0"/>
    <x v="0"/>
    <x v="2"/>
    <x v="0"/>
    <x v="3"/>
    <x v="2"/>
    <x v="3"/>
    <x v="3"/>
    <x v="3"/>
    <x v="3"/>
    <x v="3"/>
    <x v="1"/>
    <x v="3"/>
    <x v="3"/>
  </r>
  <r>
    <m/>
    <x v="3"/>
    <x v="1"/>
    <x v="1"/>
    <m/>
    <m/>
    <m/>
    <x v="0"/>
    <m/>
    <x v="2"/>
    <m/>
    <m/>
    <m/>
    <m/>
    <m/>
    <m/>
    <m/>
    <m/>
    <m/>
    <m/>
    <m/>
    <m/>
    <x v="2"/>
    <x v="0"/>
    <x v="0"/>
    <m/>
    <m/>
    <x v="2"/>
    <m/>
    <m/>
    <m/>
    <m/>
    <m/>
    <m/>
    <x v="0"/>
    <x v="2"/>
    <x v="0"/>
    <x v="1"/>
    <x v="1"/>
    <x v="2"/>
    <x v="0"/>
    <x v="0"/>
    <x v="0"/>
    <x v="1"/>
    <x v="0"/>
    <x v="2"/>
    <x v="2"/>
    <x v="0"/>
    <x v="1"/>
    <x v="0"/>
    <x v="1"/>
    <x v="1"/>
    <x v="1"/>
    <x v="1"/>
    <x v="3"/>
    <x v="0"/>
    <x v="2"/>
    <x v="2"/>
    <x v="1"/>
    <x v="1"/>
  </r>
  <r>
    <m/>
    <x v="3"/>
    <x v="4"/>
    <x v="1"/>
    <m/>
    <m/>
    <m/>
    <x v="0"/>
    <m/>
    <x v="2"/>
    <m/>
    <m/>
    <m/>
    <m/>
    <m/>
    <m/>
    <m/>
    <m/>
    <m/>
    <m/>
    <m/>
    <m/>
    <x v="2"/>
    <x v="0"/>
    <x v="0"/>
    <m/>
    <m/>
    <x v="0"/>
    <m/>
    <m/>
    <m/>
    <m/>
    <m/>
    <m/>
    <x v="0"/>
    <x v="2"/>
    <x v="0"/>
    <x v="1"/>
    <x v="4"/>
    <x v="2"/>
    <x v="0"/>
    <x v="2"/>
    <x v="1"/>
    <x v="1"/>
    <x v="0"/>
    <x v="1"/>
    <x v="2"/>
    <x v="0"/>
    <x v="4"/>
    <x v="0"/>
    <x v="2"/>
    <x v="1"/>
    <x v="4"/>
    <x v="4"/>
    <x v="2"/>
    <x v="0"/>
    <x v="3"/>
    <x v="2"/>
    <x v="3"/>
    <x v="1"/>
  </r>
  <r>
    <m/>
    <x v="3"/>
    <x v="0"/>
    <x v="1"/>
    <m/>
    <m/>
    <m/>
    <x v="0"/>
    <m/>
    <x v="2"/>
    <m/>
    <m/>
    <m/>
    <m/>
    <m/>
    <m/>
    <m/>
    <m/>
    <m/>
    <m/>
    <m/>
    <m/>
    <x v="2"/>
    <x v="0"/>
    <x v="0"/>
    <m/>
    <m/>
    <x v="2"/>
    <m/>
    <m/>
    <m/>
    <m/>
    <m/>
    <m/>
    <x v="0"/>
    <x v="2"/>
    <x v="0"/>
    <x v="1"/>
    <x v="1"/>
    <x v="2"/>
    <x v="0"/>
    <x v="0"/>
    <x v="0"/>
    <x v="1"/>
    <x v="0"/>
    <x v="2"/>
    <x v="2"/>
    <x v="0"/>
    <x v="1"/>
    <x v="0"/>
    <x v="3"/>
    <x v="1"/>
    <x v="1"/>
    <x v="1"/>
    <x v="2"/>
    <x v="4"/>
    <x v="1"/>
    <x v="1"/>
    <x v="2"/>
    <x v="3"/>
  </r>
  <r>
    <m/>
    <x v="3"/>
    <x v="2"/>
    <x v="1"/>
    <m/>
    <m/>
    <m/>
    <x v="0"/>
    <m/>
    <x v="2"/>
    <m/>
    <m/>
    <m/>
    <m/>
    <m/>
    <m/>
    <m/>
    <m/>
    <m/>
    <m/>
    <m/>
    <m/>
    <x v="2"/>
    <x v="0"/>
    <x v="1"/>
    <m/>
    <m/>
    <x v="2"/>
    <m/>
    <m/>
    <m/>
    <m/>
    <m/>
    <m/>
    <x v="0"/>
    <x v="2"/>
    <x v="0"/>
    <x v="1"/>
    <x v="1"/>
    <x v="2"/>
    <x v="0"/>
    <x v="0"/>
    <x v="0"/>
    <x v="1"/>
    <x v="0"/>
    <x v="2"/>
    <x v="2"/>
    <x v="0"/>
    <x v="0"/>
    <x v="0"/>
    <x v="1"/>
    <x v="1"/>
    <x v="1"/>
    <x v="1"/>
    <x v="3"/>
    <x v="0"/>
    <x v="3"/>
    <x v="1"/>
    <x v="1"/>
    <x v="2"/>
  </r>
  <r>
    <m/>
    <x v="3"/>
    <x v="2"/>
    <x v="1"/>
    <m/>
    <m/>
    <m/>
    <x v="0"/>
    <m/>
    <x v="2"/>
    <m/>
    <m/>
    <m/>
    <m/>
    <m/>
    <m/>
    <m/>
    <m/>
    <m/>
    <m/>
    <m/>
    <m/>
    <x v="2"/>
    <x v="0"/>
    <x v="0"/>
    <m/>
    <m/>
    <x v="2"/>
    <m/>
    <m/>
    <m/>
    <m/>
    <m/>
    <m/>
    <x v="0"/>
    <x v="2"/>
    <x v="0"/>
    <x v="1"/>
    <x v="1"/>
    <x v="2"/>
    <x v="0"/>
    <x v="0"/>
    <x v="0"/>
    <x v="1"/>
    <x v="0"/>
    <x v="2"/>
    <x v="2"/>
    <x v="0"/>
    <x v="1"/>
    <x v="0"/>
    <x v="3"/>
    <x v="1"/>
    <x v="1"/>
    <x v="1"/>
    <x v="3"/>
    <x v="0"/>
    <x v="2"/>
    <x v="1"/>
    <x v="1"/>
    <x v="1"/>
  </r>
  <r>
    <m/>
    <x v="3"/>
    <x v="2"/>
    <x v="1"/>
    <m/>
    <m/>
    <m/>
    <x v="0"/>
    <m/>
    <x v="3"/>
    <m/>
    <m/>
    <m/>
    <m/>
    <m/>
    <m/>
    <m/>
    <m/>
    <m/>
    <m/>
    <m/>
    <m/>
    <x v="4"/>
    <x v="0"/>
    <x v="1"/>
    <m/>
    <m/>
    <x v="2"/>
    <m/>
    <m/>
    <m/>
    <m/>
    <m/>
    <m/>
    <x v="0"/>
    <x v="2"/>
    <x v="0"/>
    <x v="1"/>
    <x v="4"/>
    <x v="2"/>
    <x v="0"/>
    <x v="0"/>
    <x v="0"/>
    <x v="1"/>
    <x v="2"/>
    <x v="1"/>
    <x v="0"/>
    <x v="0"/>
    <x v="0"/>
    <x v="0"/>
    <x v="3"/>
    <x v="1"/>
    <x v="1"/>
    <x v="1"/>
    <x v="3"/>
    <x v="0"/>
    <x v="3"/>
    <x v="2"/>
    <x v="1"/>
    <x v="1"/>
  </r>
  <r>
    <m/>
    <x v="3"/>
    <x v="2"/>
    <x v="1"/>
    <m/>
    <m/>
    <m/>
    <x v="1"/>
    <m/>
    <x v="2"/>
    <m/>
    <m/>
    <m/>
    <m/>
    <m/>
    <m/>
    <m/>
    <m/>
    <m/>
    <m/>
    <m/>
    <m/>
    <x v="2"/>
    <x v="0"/>
    <x v="0"/>
    <m/>
    <m/>
    <x v="2"/>
    <m/>
    <m/>
    <m/>
    <m/>
    <m/>
    <m/>
    <x v="0"/>
    <x v="0"/>
    <x v="0"/>
    <x v="2"/>
    <x v="1"/>
    <x v="2"/>
    <x v="2"/>
    <x v="0"/>
    <x v="0"/>
    <x v="3"/>
    <x v="0"/>
    <x v="2"/>
    <x v="0"/>
    <x v="0"/>
    <x v="1"/>
    <x v="2"/>
    <x v="0"/>
    <x v="4"/>
    <x v="1"/>
    <x v="4"/>
    <x v="3"/>
    <x v="2"/>
    <x v="2"/>
    <x v="1"/>
    <x v="1"/>
    <x v="1"/>
  </r>
  <r>
    <m/>
    <x v="3"/>
    <x v="2"/>
    <x v="1"/>
    <m/>
    <m/>
    <m/>
    <x v="0"/>
    <m/>
    <x v="2"/>
    <m/>
    <m/>
    <m/>
    <m/>
    <m/>
    <m/>
    <m/>
    <m/>
    <m/>
    <m/>
    <m/>
    <m/>
    <x v="2"/>
    <x v="0"/>
    <x v="0"/>
    <m/>
    <m/>
    <x v="0"/>
    <m/>
    <m/>
    <m/>
    <m/>
    <m/>
    <m/>
    <x v="0"/>
    <x v="2"/>
    <x v="0"/>
    <x v="1"/>
    <x v="1"/>
    <x v="2"/>
    <x v="0"/>
    <x v="0"/>
    <x v="0"/>
    <x v="1"/>
    <x v="0"/>
    <x v="2"/>
    <x v="2"/>
    <x v="0"/>
    <x v="1"/>
    <x v="0"/>
    <x v="3"/>
    <x v="1"/>
    <x v="1"/>
    <x v="1"/>
    <x v="4"/>
    <x v="3"/>
    <x v="1"/>
    <x v="1"/>
    <x v="1"/>
    <x v="2"/>
  </r>
  <r>
    <m/>
    <x v="3"/>
    <x v="2"/>
    <x v="1"/>
    <m/>
    <m/>
    <m/>
    <x v="0"/>
    <m/>
    <x v="2"/>
    <m/>
    <m/>
    <m/>
    <m/>
    <m/>
    <m/>
    <m/>
    <m/>
    <m/>
    <m/>
    <m/>
    <m/>
    <x v="2"/>
    <x v="0"/>
    <x v="1"/>
    <m/>
    <m/>
    <x v="2"/>
    <m/>
    <m/>
    <m/>
    <m/>
    <m/>
    <m/>
    <x v="0"/>
    <x v="2"/>
    <x v="0"/>
    <x v="1"/>
    <x v="4"/>
    <x v="2"/>
    <x v="0"/>
    <x v="0"/>
    <x v="0"/>
    <x v="1"/>
    <x v="2"/>
    <x v="2"/>
    <x v="0"/>
    <x v="0"/>
    <x v="0"/>
    <x v="0"/>
    <x v="0"/>
    <x v="1"/>
    <x v="1"/>
    <x v="1"/>
    <x v="4"/>
    <x v="3"/>
    <x v="3"/>
    <x v="2"/>
    <x v="3"/>
    <x v="2"/>
  </r>
  <r>
    <m/>
    <x v="3"/>
    <x v="0"/>
    <x v="1"/>
    <m/>
    <m/>
    <m/>
    <x v="2"/>
    <m/>
    <x v="3"/>
    <m/>
    <m/>
    <m/>
    <m/>
    <m/>
    <m/>
    <m/>
    <m/>
    <m/>
    <m/>
    <m/>
    <m/>
    <x v="4"/>
    <x v="0"/>
    <x v="0"/>
    <m/>
    <m/>
    <x v="2"/>
    <m/>
    <m/>
    <m/>
    <m/>
    <m/>
    <m/>
    <x v="1"/>
    <x v="2"/>
    <x v="0"/>
    <x v="2"/>
    <x v="1"/>
    <x v="2"/>
    <x v="0"/>
    <x v="2"/>
    <x v="0"/>
    <x v="3"/>
    <x v="0"/>
    <x v="2"/>
    <x v="0"/>
    <x v="0"/>
    <x v="0"/>
    <x v="2"/>
    <x v="1"/>
    <x v="2"/>
    <x v="1"/>
    <x v="3"/>
    <x v="3"/>
    <x v="0"/>
    <x v="3"/>
    <x v="2"/>
    <x v="3"/>
    <x v="1"/>
  </r>
  <r>
    <m/>
    <x v="3"/>
    <x v="0"/>
    <x v="1"/>
    <m/>
    <m/>
    <m/>
    <x v="0"/>
    <m/>
    <x v="2"/>
    <m/>
    <m/>
    <m/>
    <m/>
    <m/>
    <m/>
    <m/>
    <m/>
    <m/>
    <m/>
    <m/>
    <m/>
    <x v="2"/>
    <x v="0"/>
    <x v="0"/>
    <m/>
    <m/>
    <x v="2"/>
    <m/>
    <m/>
    <m/>
    <m/>
    <m/>
    <m/>
    <x v="5"/>
    <x v="1"/>
    <x v="0"/>
    <x v="1"/>
    <x v="1"/>
    <x v="2"/>
    <x v="0"/>
    <x v="0"/>
    <x v="0"/>
    <x v="1"/>
    <x v="0"/>
    <x v="2"/>
    <x v="2"/>
    <x v="0"/>
    <x v="1"/>
    <x v="0"/>
    <x v="1"/>
    <x v="1"/>
    <x v="2"/>
    <x v="1"/>
    <x v="5"/>
    <x v="3"/>
    <x v="1"/>
    <x v="2"/>
    <x v="1"/>
    <x v="2"/>
  </r>
  <r>
    <m/>
    <x v="3"/>
    <x v="3"/>
    <x v="1"/>
    <m/>
    <m/>
    <m/>
    <x v="0"/>
    <m/>
    <x v="2"/>
    <m/>
    <m/>
    <m/>
    <m/>
    <m/>
    <m/>
    <m/>
    <m/>
    <m/>
    <m/>
    <m/>
    <m/>
    <x v="2"/>
    <x v="0"/>
    <x v="0"/>
    <m/>
    <m/>
    <x v="2"/>
    <m/>
    <m/>
    <m/>
    <m/>
    <m/>
    <m/>
    <x v="0"/>
    <x v="2"/>
    <x v="0"/>
    <x v="1"/>
    <x v="1"/>
    <x v="2"/>
    <x v="0"/>
    <x v="0"/>
    <x v="0"/>
    <x v="1"/>
    <x v="0"/>
    <x v="2"/>
    <x v="3"/>
    <x v="0"/>
    <x v="1"/>
    <x v="0"/>
    <x v="1"/>
    <x v="1"/>
    <x v="2"/>
    <x v="1"/>
    <x v="5"/>
    <x v="2"/>
    <x v="3"/>
    <x v="1"/>
    <x v="1"/>
    <x v="2"/>
  </r>
  <r>
    <m/>
    <x v="3"/>
    <x v="0"/>
    <x v="1"/>
    <m/>
    <m/>
    <m/>
    <x v="0"/>
    <m/>
    <x v="0"/>
    <m/>
    <m/>
    <m/>
    <m/>
    <m/>
    <m/>
    <m/>
    <m/>
    <m/>
    <m/>
    <m/>
    <m/>
    <x v="5"/>
    <x v="1"/>
    <x v="0"/>
    <m/>
    <m/>
    <x v="2"/>
    <m/>
    <m/>
    <m/>
    <m/>
    <m/>
    <m/>
    <x v="0"/>
    <x v="0"/>
    <x v="0"/>
    <x v="0"/>
    <x v="1"/>
    <x v="2"/>
    <x v="4"/>
    <x v="2"/>
    <x v="0"/>
    <x v="0"/>
    <x v="3"/>
    <x v="2"/>
    <x v="3"/>
    <x v="4"/>
    <x v="3"/>
    <x v="0"/>
    <x v="3"/>
    <x v="1"/>
    <x v="1"/>
    <x v="1"/>
    <x v="5"/>
    <x v="0"/>
    <x v="2"/>
    <x v="2"/>
    <x v="2"/>
    <x v="1"/>
  </r>
  <r>
    <m/>
    <x v="3"/>
    <x v="0"/>
    <x v="1"/>
    <m/>
    <m/>
    <m/>
    <x v="0"/>
    <m/>
    <x v="0"/>
    <m/>
    <m/>
    <m/>
    <m/>
    <m/>
    <m/>
    <m/>
    <m/>
    <m/>
    <m/>
    <m/>
    <m/>
    <x v="5"/>
    <x v="1"/>
    <x v="0"/>
    <m/>
    <m/>
    <x v="2"/>
    <m/>
    <m/>
    <m/>
    <m/>
    <m/>
    <m/>
    <x v="4"/>
    <x v="0"/>
    <x v="0"/>
    <x v="1"/>
    <x v="5"/>
    <x v="2"/>
    <x v="4"/>
    <x v="0"/>
    <x v="0"/>
    <x v="1"/>
    <x v="3"/>
    <x v="2"/>
    <x v="3"/>
    <x v="5"/>
    <x v="3"/>
    <x v="0"/>
    <x v="0"/>
    <x v="1"/>
    <x v="1"/>
    <x v="4"/>
    <x v="2"/>
    <x v="4"/>
    <x v="3"/>
    <x v="2"/>
    <x v="2"/>
    <x v="2"/>
  </r>
  <r>
    <m/>
    <x v="3"/>
    <x v="2"/>
    <x v="1"/>
    <m/>
    <m/>
    <m/>
    <x v="0"/>
    <m/>
    <x v="0"/>
    <m/>
    <m/>
    <m/>
    <m/>
    <m/>
    <m/>
    <m/>
    <m/>
    <m/>
    <m/>
    <m/>
    <m/>
    <x v="5"/>
    <x v="0"/>
    <x v="0"/>
    <m/>
    <m/>
    <x v="2"/>
    <m/>
    <m/>
    <m/>
    <m/>
    <m/>
    <m/>
    <x v="0"/>
    <x v="2"/>
    <x v="0"/>
    <x v="1"/>
    <x v="1"/>
    <x v="2"/>
    <x v="0"/>
    <x v="0"/>
    <x v="0"/>
    <x v="1"/>
    <x v="0"/>
    <x v="2"/>
    <x v="2"/>
    <x v="0"/>
    <x v="0"/>
    <x v="0"/>
    <x v="3"/>
    <x v="1"/>
    <x v="1"/>
    <x v="1"/>
    <x v="2"/>
    <x v="0"/>
    <x v="3"/>
    <x v="1"/>
    <x v="1"/>
    <x v="1"/>
  </r>
  <r>
    <m/>
    <x v="3"/>
    <x v="0"/>
    <x v="1"/>
    <m/>
    <m/>
    <m/>
    <x v="0"/>
    <m/>
    <x v="2"/>
    <m/>
    <m/>
    <m/>
    <m/>
    <m/>
    <m/>
    <m/>
    <m/>
    <m/>
    <m/>
    <m/>
    <m/>
    <x v="2"/>
    <x v="4"/>
    <x v="0"/>
    <m/>
    <m/>
    <x v="2"/>
    <m/>
    <m/>
    <m/>
    <m/>
    <m/>
    <m/>
    <x v="0"/>
    <x v="2"/>
    <x v="0"/>
    <x v="1"/>
    <x v="1"/>
    <x v="2"/>
    <x v="0"/>
    <x v="0"/>
    <x v="0"/>
    <x v="1"/>
    <x v="0"/>
    <x v="2"/>
    <x v="2"/>
    <x v="0"/>
    <x v="1"/>
    <x v="0"/>
    <x v="1"/>
    <x v="1"/>
    <x v="0"/>
    <x v="2"/>
    <x v="2"/>
    <x v="2"/>
    <x v="1"/>
    <x v="2"/>
    <x v="3"/>
    <x v="3"/>
  </r>
  <r>
    <m/>
    <x v="3"/>
    <x v="0"/>
    <x v="0"/>
    <m/>
    <m/>
    <m/>
    <x v="0"/>
    <m/>
    <x v="2"/>
    <m/>
    <m/>
    <m/>
    <m/>
    <m/>
    <m/>
    <m/>
    <m/>
    <m/>
    <m/>
    <m/>
    <m/>
    <x v="2"/>
    <x v="0"/>
    <x v="2"/>
    <m/>
    <m/>
    <x v="2"/>
    <m/>
    <m/>
    <m/>
    <m/>
    <m/>
    <m/>
    <x v="0"/>
    <x v="2"/>
    <x v="0"/>
    <x v="1"/>
    <x v="1"/>
    <x v="2"/>
    <x v="0"/>
    <x v="0"/>
    <x v="0"/>
    <x v="1"/>
    <x v="0"/>
    <x v="2"/>
    <x v="2"/>
    <x v="0"/>
    <x v="1"/>
    <x v="5"/>
    <x v="1"/>
    <x v="1"/>
    <x v="0"/>
    <x v="2"/>
    <x v="2"/>
    <x v="0"/>
    <x v="1"/>
    <x v="1"/>
    <x v="3"/>
    <x v="1"/>
  </r>
  <r>
    <m/>
    <x v="3"/>
    <x v="2"/>
    <x v="1"/>
    <m/>
    <m/>
    <m/>
    <x v="0"/>
    <m/>
    <x v="2"/>
    <m/>
    <m/>
    <m/>
    <m/>
    <m/>
    <m/>
    <m/>
    <m/>
    <m/>
    <m/>
    <m/>
    <m/>
    <x v="2"/>
    <x v="0"/>
    <x v="0"/>
    <m/>
    <m/>
    <x v="2"/>
    <m/>
    <m/>
    <m/>
    <m/>
    <m/>
    <m/>
    <x v="0"/>
    <x v="2"/>
    <x v="0"/>
    <x v="1"/>
    <x v="4"/>
    <x v="2"/>
    <x v="0"/>
    <x v="0"/>
    <x v="0"/>
    <x v="1"/>
    <x v="0"/>
    <x v="1"/>
    <x v="2"/>
    <x v="0"/>
    <x v="1"/>
    <x v="0"/>
    <x v="1"/>
    <x v="1"/>
    <x v="1"/>
    <x v="3"/>
    <x v="2"/>
    <x v="0"/>
    <x v="3"/>
    <x v="2"/>
    <x v="1"/>
    <x v="1"/>
  </r>
  <r>
    <m/>
    <x v="3"/>
    <x v="0"/>
    <x v="1"/>
    <m/>
    <m/>
    <m/>
    <x v="0"/>
    <m/>
    <x v="2"/>
    <m/>
    <m/>
    <m/>
    <m/>
    <m/>
    <m/>
    <m/>
    <m/>
    <m/>
    <m/>
    <m/>
    <m/>
    <x v="2"/>
    <x v="2"/>
    <x v="0"/>
    <m/>
    <m/>
    <x v="2"/>
    <m/>
    <m/>
    <m/>
    <m/>
    <m/>
    <m/>
    <x v="0"/>
    <x v="0"/>
    <x v="0"/>
    <x v="1"/>
    <x v="1"/>
    <x v="2"/>
    <x v="0"/>
    <x v="0"/>
    <x v="0"/>
    <x v="0"/>
    <x v="0"/>
    <x v="2"/>
    <x v="2"/>
    <x v="0"/>
    <x v="1"/>
    <x v="3"/>
    <x v="1"/>
    <x v="1"/>
    <x v="1"/>
    <x v="1"/>
    <x v="2"/>
    <x v="0"/>
    <x v="1"/>
    <x v="1"/>
    <x v="2"/>
    <x v="2"/>
  </r>
  <r>
    <m/>
    <x v="3"/>
    <x v="0"/>
    <x v="0"/>
    <m/>
    <m/>
    <m/>
    <x v="0"/>
    <m/>
    <x v="0"/>
    <m/>
    <m/>
    <m/>
    <m/>
    <m/>
    <m/>
    <m/>
    <m/>
    <m/>
    <m/>
    <m/>
    <m/>
    <x v="5"/>
    <x v="0"/>
    <x v="0"/>
    <m/>
    <m/>
    <x v="2"/>
    <m/>
    <m/>
    <m/>
    <m/>
    <m/>
    <m/>
    <x v="0"/>
    <x v="2"/>
    <x v="0"/>
    <x v="1"/>
    <x v="1"/>
    <x v="2"/>
    <x v="0"/>
    <x v="0"/>
    <x v="0"/>
    <x v="1"/>
    <x v="0"/>
    <x v="3"/>
    <x v="2"/>
    <x v="0"/>
    <x v="0"/>
    <x v="0"/>
    <x v="4"/>
    <x v="1"/>
    <x v="1"/>
    <x v="1"/>
    <x v="4"/>
    <x v="2"/>
    <x v="1"/>
    <x v="1"/>
    <x v="1"/>
    <x v="2"/>
  </r>
  <r>
    <m/>
    <x v="3"/>
    <x v="0"/>
    <x v="1"/>
    <m/>
    <m/>
    <m/>
    <x v="2"/>
    <m/>
    <x v="3"/>
    <m/>
    <m/>
    <m/>
    <m/>
    <m/>
    <m/>
    <m/>
    <m/>
    <m/>
    <m/>
    <m/>
    <m/>
    <x v="4"/>
    <x v="0"/>
    <x v="1"/>
    <m/>
    <m/>
    <x v="0"/>
    <m/>
    <m/>
    <m/>
    <m/>
    <m/>
    <m/>
    <x v="4"/>
    <x v="4"/>
    <x v="2"/>
    <x v="2"/>
    <x v="4"/>
    <x v="3"/>
    <x v="3"/>
    <x v="0"/>
    <x v="1"/>
    <x v="0"/>
    <x v="2"/>
    <x v="1"/>
    <x v="3"/>
    <x v="4"/>
    <x v="2"/>
    <x v="2"/>
    <x v="3"/>
    <x v="2"/>
    <x v="2"/>
    <x v="3"/>
    <x v="3"/>
    <x v="2"/>
    <x v="3"/>
    <x v="2"/>
    <x v="1"/>
    <x v="1"/>
  </r>
  <r>
    <m/>
    <x v="3"/>
    <x v="0"/>
    <x v="0"/>
    <m/>
    <m/>
    <m/>
    <x v="0"/>
    <m/>
    <x v="2"/>
    <m/>
    <m/>
    <m/>
    <m/>
    <m/>
    <m/>
    <m/>
    <m/>
    <m/>
    <m/>
    <m/>
    <m/>
    <x v="2"/>
    <x v="0"/>
    <x v="0"/>
    <m/>
    <m/>
    <x v="2"/>
    <m/>
    <m/>
    <m/>
    <m/>
    <m/>
    <m/>
    <x v="0"/>
    <x v="4"/>
    <x v="0"/>
    <x v="2"/>
    <x v="1"/>
    <x v="3"/>
    <x v="0"/>
    <x v="0"/>
    <x v="0"/>
    <x v="3"/>
    <x v="0"/>
    <x v="1"/>
    <x v="2"/>
    <x v="0"/>
    <x v="0"/>
    <x v="0"/>
    <x v="3"/>
    <x v="2"/>
    <x v="2"/>
    <x v="1"/>
    <x v="4"/>
    <x v="2"/>
    <x v="1"/>
    <x v="1"/>
    <x v="1"/>
    <x v="1"/>
  </r>
  <r>
    <m/>
    <x v="3"/>
    <x v="0"/>
    <x v="0"/>
    <m/>
    <m/>
    <m/>
    <x v="0"/>
    <m/>
    <x v="3"/>
    <m/>
    <m/>
    <m/>
    <m/>
    <m/>
    <m/>
    <m/>
    <m/>
    <m/>
    <m/>
    <m/>
    <m/>
    <x v="4"/>
    <x v="0"/>
    <x v="0"/>
    <m/>
    <m/>
    <x v="2"/>
    <m/>
    <m/>
    <m/>
    <m/>
    <m/>
    <m/>
    <x v="0"/>
    <x v="2"/>
    <x v="2"/>
    <x v="1"/>
    <x v="1"/>
    <x v="2"/>
    <x v="0"/>
    <x v="0"/>
    <x v="1"/>
    <x v="1"/>
    <x v="0"/>
    <x v="1"/>
    <x v="2"/>
    <x v="0"/>
    <x v="1"/>
    <x v="0"/>
    <x v="1"/>
    <x v="1"/>
    <x v="1"/>
    <x v="1"/>
    <x v="3"/>
    <x v="0"/>
    <x v="2"/>
    <x v="2"/>
    <x v="1"/>
    <x v="1"/>
  </r>
  <r>
    <m/>
    <x v="3"/>
    <x v="0"/>
    <x v="0"/>
    <m/>
    <m/>
    <m/>
    <x v="0"/>
    <m/>
    <x v="3"/>
    <m/>
    <m/>
    <m/>
    <m/>
    <m/>
    <m/>
    <m/>
    <m/>
    <m/>
    <m/>
    <m/>
    <m/>
    <x v="4"/>
    <x v="0"/>
    <x v="0"/>
    <m/>
    <m/>
    <x v="3"/>
    <m/>
    <m/>
    <m/>
    <m/>
    <m/>
    <m/>
    <x v="0"/>
    <x v="2"/>
    <x v="0"/>
    <x v="1"/>
    <x v="1"/>
    <x v="2"/>
    <x v="0"/>
    <x v="0"/>
    <x v="0"/>
    <x v="1"/>
    <x v="0"/>
    <x v="3"/>
    <x v="2"/>
    <x v="0"/>
    <x v="1"/>
    <x v="0"/>
    <x v="3"/>
    <x v="1"/>
    <x v="1"/>
    <x v="1"/>
    <x v="2"/>
    <x v="2"/>
    <x v="2"/>
    <x v="1"/>
    <x v="1"/>
    <x v="3"/>
  </r>
  <r>
    <m/>
    <x v="3"/>
    <x v="0"/>
    <x v="1"/>
    <m/>
    <m/>
    <m/>
    <x v="0"/>
    <m/>
    <x v="2"/>
    <m/>
    <m/>
    <m/>
    <m/>
    <m/>
    <m/>
    <m/>
    <m/>
    <m/>
    <m/>
    <m/>
    <m/>
    <x v="2"/>
    <x v="2"/>
    <x v="5"/>
    <m/>
    <m/>
    <x v="3"/>
    <m/>
    <m/>
    <m/>
    <m/>
    <m/>
    <m/>
    <x v="4"/>
    <x v="0"/>
    <x v="1"/>
    <x v="3"/>
    <x v="2"/>
    <x v="1"/>
    <x v="1"/>
    <x v="1"/>
    <x v="2"/>
    <x v="2"/>
    <x v="1"/>
    <x v="3"/>
    <x v="3"/>
    <x v="3"/>
    <x v="5"/>
    <x v="3"/>
    <x v="4"/>
    <x v="0"/>
    <x v="0"/>
    <x v="2"/>
    <x v="4"/>
    <x v="2"/>
    <x v="0"/>
    <x v="1"/>
    <x v="0"/>
    <x v="0"/>
  </r>
  <r>
    <m/>
    <x v="3"/>
    <x v="0"/>
    <x v="2"/>
    <m/>
    <m/>
    <m/>
    <x v="1"/>
    <m/>
    <x v="1"/>
    <m/>
    <m/>
    <m/>
    <m/>
    <m/>
    <m/>
    <m/>
    <m/>
    <m/>
    <m/>
    <m/>
    <m/>
    <x v="3"/>
    <x v="6"/>
    <x v="3"/>
    <m/>
    <m/>
    <x v="1"/>
    <m/>
    <m/>
    <m/>
    <m/>
    <m/>
    <m/>
    <x v="5"/>
    <x v="1"/>
    <x v="1"/>
    <x v="3"/>
    <x v="2"/>
    <x v="1"/>
    <x v="1"/>
    <x v="1"/>
    <x v="2"/>
    <x v="2"/>
    <x v="1"/>
    <x v="5"/>
    <x v="1"/>
    <x v="2"/>
    <x v="4"/>
    <x v="1"/>
    <x v="5"/>
    <x v="5"/>
    <x v="5"/>
    <x v="5"/>
    <x v="1"/>
    <x v="1"/>
    <x v="0"/>
    <x v="0"/>
    <x v="0"/>
    <x v="0"/>
  </r>
  <r>
    <m/>
    <x v="3"/>
    <x v="1"/>
    <x v="1"/>
    <m/>
    <m/>
    <m/>
    <x v="0"/>
    <m/>
    <x v="3"/>
    <m/>
    <m/>
    <m/>
    <m/>
    <m/>
    <m/>
    <m/>
    <m/>
    <m/>
    <m/>
    <m/>
    <m/>
    <x v="4"/>
    <x v="0"/>
    <x v="0"/>
    <m/>
    <m/>
    <x v="2"/>
    <m/>
    <m/>
    <m/>
    <m/>
    <m/>
    <m/>
    <x v="0"/>
    <x v="2"/>
    <x v="0"/>
    <x v="1"/>
    <x v="1"/>
    <x v="2"/>
    <x v="0"/>
    <x v="0"/>
    <x v="0"/>
    <x v="1"/>
    <x v="0"/>
    <x v="2"/>
    <x v="2"/>
    <x v="0"/>
    <x v="1"/>
    <x v="0"/>
    <x v="1"/>
    <x v="2"/>
    <x v="1"/>
    <x v="1"/>
    <x v="3"/>
    <x v="0"/>
    <x v="1"/>
    <x v="1"/>
    <x v="3"/>
    <x v="2"/>
  </r>
  <r>
    <m/>
    <x v="3"/>
    <x v="1"/>
    <x v="1"/>
    <m/>
    <m/>
    <m/>
    <x v="0"/>
    <m/>
    <x v="5"/>
    <m/>
    <m/>
    <m/>
    <m/>
    <m/>
    <m/>
    <m/>
    <m/>
    <m/>
    <m/>
    <m/>
    <m/>
    <x v="0"/>
    <x v="0"/>
    <x v="0"/>
    <m/>
    <m/>
    <x v="2"/>
    <m/>
    <m/>
    <m/>
    <m/>
    <m/>
    <m/>
    <x v="0"/>
    <x v="3"/>
    <x v="0"/>
    <x v="0"/>
    <x v="4"/>
    <x v="2"/>
    <x v="0"/>
    <x v="0"/>
    <x v="0"/>
    <x v="1"/>
    <x v="0"/>
    <x v="1"/>
    <x v="3"/>
    <x v="0"/>
    <x v="1"/>
    <x v="0"/>
    <x v="2"/>
    <x v="1"/>
    <x v="1"/>
    <x v="3"/>
    <x v="0"/>
    <x v="4"/>
    <x v="1"/>
    <x v="1"/>
    <x v="2"/>
    <x v="3"/>
  </r>
  <r>
    <m/>
    <x v="3"/>
    <x v="2"/>
    <x v="0"/>
    <m/>
    <m/>
    <m/>
    <x v="0"/>
    <m/>
    <x v="2"/>
    <m/>
    <m/>
    <m/>
    <m/>
    <m/>
    <m/>
    <m/>
    <m/>
    <m/>
    <m/>
    <m/>
    <m/>
    <x v="2"/>
    <x v="0"/>
    <x v="0"/>
    <m/>
    <m/>
    <x v="2"/>
    <m/>
    <m/>
    <m/>
    <m/>
    <m/>
    <m/>
    <x v="0"/>
    <x v="2"/>
    <x v="0"/>
    <x v="1"/>
    <x v="4"/>
    <x v="2"/>
    <x v="0"/>
    <x v="0"/>
    <x v="0"/>
    <x v="1"/>
    <x v="2"/>
    <x v="2"/>
    <x v="0"/>
    <x v="0"/>
    <x v="2"/>
    <x v="0"/>
    <x v="3"/>
    <x v="1"/>
    <x v="1"/>
    <x v="1"/>
    <x v="4"/>
    <x v="0"/>
    <x v="2"/>
    <x v="2"/>
    <x v="1"/>
    <x v="1"/>
  </r>
  <r>
    <m/>
    <x v="3"/>
    <x v="2"/>
    <x v="1"/>
    <m/>
    <m/>
    <m/>
    <x v="0"/>
    <m/>
    <x v="2"/>
    <m/>
    <m/>
    <m/>
    <m/>
    <m/>
    <m/>
    <m/>
    <m/>
    <m/>
    <m/>
    <m/>
    <m/>
    <x v="2"/>
    <x v="0"/>
    <x v="0"/>
    <m/>
    <m/>
    <x v="2"/>
    <m/>
    <m/>
    <m/>
    <m/>
    <m/>
    <m/>
    <x v="0"/>
    <x v="2"/>
    <x v="0"/>
    <x v="1"/>
    <x v="1"/>
    <x v="2"/>
    <x v="0"/>
    <x v="0"/>
    <x v="0"/>
    <x v="1"/>
    <x v="0"/>
    <x v="3"/>
    <x v="0"/>
    <x v="0"/>
    <x v="0"/>
    <x v="0"/>
    <x v="3"/>
    <x v="2"/>
    <x v="2"/>
    <x v="1"/>
    <x v="3"/>
    <x v="0"/>
    <x v="1"/>
    <x v="1"/>
    <x v="1"/>
    <x v="1"/>
  </r>
  <r>
    <m/>
    <x v="3"/>
    <x v="2"/>
    <x v="1"/>
    <m/>
    <m/>
    <m/>
    <x v="0"/>
    <m/>
    <x v="2"/>
    <m/>
    <m/>
    <m/>
    <m/>
    <m/>
    <m/>
    <m/>
    <m/>
    <m/>
    <m/>
    <m/>
    <m/>
    <x v="2"/>
    <x v="0"/>
    <x v="0"/>
    <m/>
    <m/>
    <x v="2"/>
    <m/>
    <m/>
    <m/>
    <m/>
    <m/>
    <m/>
    <x v="0"/>
    <x v="2"/>
    <x v="0"/>
    <x v="1"/>
    <x v="4"/>
    <x v="2"/>
    <x v="0"/>
    <x v="0"/>
    <x v="0"/>
    <x v="1"/>
    <x v="0"/>
    <x v="2"/>
    <x v="2"/>
    <x v="0"/>
    <x v="0"/>
    <x v="0"/>
    <x v="1"/>
    <x v="2"/>
    <x v="1"/>
    <x v="1"/>
    <x v="4"/>
    <x v="0"/>
    <x v="1"/>
    <x v="1"/>
    <x v="1"/>
    <x v="1"/>
  </r>
  <r>
    <m/>
    <x v="3"/>
    <x v="4"/>
    <x v="2"/>
    <m/>
    <m/>
    <m/>
    <x v="2"/>
    <m/>
    <x v="0"/>
    <m/>
    <m/>
    <m/>
    <m/>
    <m/>
    <m/>
    <m/>
    <m/>
    <m/>
    <m/>
    <m/>
    <m/>
    <x v="5"/>
    <x v="2"/>
    <x v="4"/>
    <m/>
    <m/>
    <x v="0"/>
    <m/>
    <m/>
    <m/>
    <m/>
    <m/>
    <m/>
    <x v="1"/>
    <x v="2"/>
    <x v="2"/>
    <x v="0"/>
    <x v="4"/>
    <x v="2"/>
    <x v="3"/>
    <x v="2"/>
    <x v="0"/>
    <x v="1"/>
    <x v="4"/>
    <x v="1"/>
    <x v="3"/>
    <x v="3"/>
    <x v="0"/>
    <x v="4"/>
    <x v="3"/>
    <x v="2"/>
    <x v="3"/>
    <x v="1"/>
    <x v="4"/>
    <x v="4"/>
    <x v="1"/>
    <x v="1"/>
    <x v="1"/>
    <x v="1"/>
  </r>
  <r>
    <m/>
    <x v="3"/>
    <x v="2"/>
    <x v="1"/>
    <m/>
    <m/>
    <m/>
    <x v="0"/>
    <m/>
    <x v="3"/>
    <m/>
    <m/>
    <m/>
    <m/>
    <m/>
    <m/>
    <m/>
    <m/>
    <m/>
    <m/>
    <m/>
    <m/>
    <x v="4"/>
    <x v="0"/>
    <x v="0"/>
    <m/>
    <m/>
    <x v="2"/>
    <m/>
    <m/>
    <m/>
    <m/>
    <m/>
    <m/>
    <x v="2"/>
    <x v="5"/>
    <x v="2"/>
    <x v="2"/>
    <x v="4"/>
    <x v="2"/>
    <x v="0"/>
    <x v="0"/>
    <x v="0"/>
    <x v="1"/>
    <x v="2"/>
    <x v="1"/>
    <x v="0"/>
    <x v="0"/>
    <x v="2"/>
    <x v="0"/>
    <x v="0"/>
    <x v="4"/>
    <x v="2"/>
    <x v="3"/>
    <x v="4"/>
    <x v="0"/>
    <x v="1"/>
    <x v="1"/>
    <x v="1"/>
    <x v="1"/>
  </r>
  <r>
    <m/>
    <x v="3"/>
    <x v="0"/>
    <x v="1"/>
    <m/>
    <m/>
    <m/>
    <x v="0"/>
    <m/>
    <x v="2"/>
    <m/>
    <m/>
    <m/>
    <m/>
    <m/>
    <m/>
    <m/>
    <m/>
    <m/>
    <m/>
    <m/>
    <m/>
    <x v="2"/>
    <x v="0"/>
    <x v="0"/>
    <m/>
    <m/>
    <x v="2"/>
    <m/>
    <m/>
    <m/>
    <m/>
    <m/>
    <m/>
    <x v="0"/>
    <x v="2"/>
    <x v="0"/>
    <x v="1"/>
    <x v="1"/>
    <x v="2"/>
    <x v="0"/>
    <x v="0"/>
    <x v="0"/>
    <x v="3"/>
    <x v="0"/>
    <x v="2"/>
    <x v="2"/>
    <x v="0"/>
    <x v="0"/>
    <x v="0"/>
    <x v="3"/>
    <x v="1"/>
    <x v="1"/>
    <x v="2"/>
    <x v="2"/>
    <x v="0"/>
    <x v="0"/>
    <x v="2"/>
    <x v="1"/>
    <x v="1"/>
  </r>
  <r>
    <m/>
    <x v="3"/>
    <x v="2"/>
    <x v="1"/>
    <m/>
    <m/>
    <m/>
    <x v="2"/>
    <m/>
    <x v="3"/>
    <m/>
    <m/>
    <m/>
    <m/>
    <m/>
    <m/>
    <m/>
    <m/>
    <m/>
    <m/>
    <m/>
    <m/>
    <x v="4"/>
    <x v="0"/>
    <x v="1"/>
    <m/>
    <m/>
    <x v="0"/>
    <m/>
    <m/>
    <m/>
    <m/>
    <m/>
    <m/>
    <x v="1"/>
    <x v="5"/>
    <x v="2"/>
    <x v="2"/>
    <x v="4"/>
    <x v="3"/>
    <x v="3"/>
    <x v="0"/>
    <x v="0"/>
    <x v="0"/>
    <x v="5"/>
    <x v="4"/>
    <x v="0"/>
    <x v="0"/>
    <x v="2"/>
    <x v="0"/>
    <x v="2"/>
    <x v="3"/>
    <x v="2"/>
    <x v="0"/>
    <x v="3"/>
    <x v="3"/>
    <x v="1"/>
    <x v="1"/>
    <x v="2"/>
    <x v="1"/>
  </r>
  <r>
    <m/>
    <x v="3"/>
    <x v="0"/>
    <x v="0"/>
    <m/>
    <m/>
    <m/>
    <x v="0"/>
    <m/>
    <x v="3"/>
    <m/>
    <m/>
    <m/>
    <m/>
    <m/>
    <m/>
    <m/>
    <m/>
    <m/>
    <m/>
    <m/>
    <m/>
    <x v="4"/>
    <x v="0"/>
    <x v="0"/>
    <m/>
    <m/>
    <x v="3"/>
    <m/>
    <m/>
    <m/>
    <m/>
    <m/>
    <m/>
    <x v="0"/>
    <x v="0"/>
    <x v="0"/>
    <x v="1"/>
    <x v="1"/>
    <x v="2"/>
    <x v="3"/>
    <x v="3"/>
    <x v="0"/>
    <x v="0"/>
    <x v="0"/>
    <x v="1"/>
    <x v="0"/>
    <x v="0"/>
    <x v="0"/>
    <x v="3"/>
    <x v="0"/>
    <x v="1"/>
    <x v="0"/>
    <x v="2"/>
    <x v="3"/>
    <x v="2"/>
    <x v="1"/>
    <x v="1"/>
    <x v="3"/>
    <x v="1"/>
  </r>
  <r>
    <m/>
    <x v="3"/>
    <x v="0"/>
    <x v="1"/>
    <m/>
    <m/>
    <m/>
    <x v="0"/>
    <m/>
    <x v="3"/>
    <m/>
    <m/>
    <m/>
    <m/>
    <m/>
    <m/>
    <m/>
    <m/>
    <m/>
    <m/>
    <m/>
    <m/>
    <x v="4"/>
    <x v="1"/>
    <x v="0"/>
    <m/>
    <m/>
    <x v="0"/>
    <m/>
    <m/>
    <m/>
    <m/>
    <m/>
    <m/>
    <x v="0"/>
    <x v="2"/>
    <x v="0"/>
    <x v="1"/>
    <x v="1"/>
    <x v="2"/>
    <x v="0"/>
    <x v="0"/>
    <x v="0"/>
    <x v="1"/>
    <x v="0"/>
    <x v="1"/>
    <x v="2"/>
    <x v="0"/>
    <x v="0"/>
    <x v="0"/>
    <x v="3"/>
    <x v="1"/>
    <x v="1"/>
    <x v="3"/>
    <x v="2"/>
    <x v="0"/>
    <x v="2"/>
    <x v="2"/>
    <x v="3"/>
    <x v="1"/>
  </r>
  <r>
    <m/>
    <x v="3"/>
    <x v="0"/>
    <x v="0"/>
    <m/>
    <m/>
    <m/>
    <x v="4"/>
    <m/>
    <x v="0"/>
    <m/>
    <m/>
    <m/>
    <m/>
    <m/>
    <m/>
    <m/>
    <m/>
    <m/>
    <m/>
    <m/>
    <m/>
    <x v="5"/>
    <x v="0"/>
    <x v="4"/>
    <m/>
    <m/>
    <x v="2"/>
    <m/>
    <m/>
    <m/>
    <m/>
    <m/>
    <m/>
    <x v="1"/>
    <x v="3"/>
    <x v="0"/>
    <x v="0"/>
    <x v="4"/>
    <x v="3"/>
    <x v="5"/>
    <x v="1"/>
    <x v="0"/>
    <x v="3"/>
    <x v="0"/>
    <x v="0"/>
    <x v="3"/>
    <x v="1"/>
    <x v="3"/>
    <x v="0"/>
    <x v="4"/>
    <x v="0"/>
    <x v="0"/>
    <x v="2"/>
    <x v="0"/>
    <x v="0"/>
    <x v="1"/>
    <x v="1"/>
    <x v="2"/>
    <x v="1"/>
  </r>
  <r>
    <m/>
    <x v="3"/>
    <x v="2"/>
    <x v="1"/>
    <m/>
    <m/>
    <m/>
    <x v="2"/>
    <m/>
    <x v="3"/>
    <m/>
    <m/>
    <m/>
    <m/>
    <m/>
    <m/>
    <m/>
    <m/>
    <m/>
    <m/>
    <m/>
    <m/>
    <x v="4"/>
    <x v="0"/>
    <x v="0"/>
    <m/>
    <m/>
    <x v="2"/>
    <m/>
    <m/>
    <m/>
    <m/>
    <m/>
    <m/>
    <x v="3"/>
    <x v="3"/>
    <x v="2"/>
    <x v="2"/>
    <x v="1"/>
    <x v="2"/>
    <x v="0"/>
    <x v="0"/>
    <x v="0"/>
    <x v="1"/>
    <x v="2"/>
    <x v="4"/>
    <x v="2"/>
    <x v="0"/>
    <x v="2"/>
    <x v="0"/>
    <x v="3"/>
    <x v="3"/>
    <x v="2"/>
    <x v="3"/>
    <x v="4"/>
    <x v="0"/>
    <x v="1"/>
    <x v="1"/>
    <x v="2"/>
    <x v="3"/>
  </r>
  <r>
    <m/>
    <x v="3"/>
    <x v="0"/>
    <x v="0"/>
    <m/>
    <m/>
    <m/>
    <x v="0"/>
    <m/>
    <x v="2"/>
    <m/>
    <m/>
    <m/>
    <m/>
    <m/>
    <m/>
    <m/>
    <m/>
    <m/>
    <m/>
    <m/>
    <m/>
    <x v="2"/>
    <x v="1"/>
    <x v="0"/>
    <m/>
    <m/>
    <x v="0"/>
    <m/>
    <m/>
    <m/>
    <m/>
    <m/>
    <m/>
    <x v="0"/>
    <x v="2"/>
    <x v="0"/>
    <x v="1"/>
    <x v="1"/>
    <x v="2"/>
    <x v="3"/>
    <x v="0"/>
    <x v="0"/>
    <x v="1"/>
    <x v="0"/>
    <x v="1"/>
    <x v="2"/>
    <x v="0"/>
    <x v="0"/>
    <x v="0"/>
    <x v="3"/>
    <x v="1"/>
    <x v="0"/>
    <x v="2"/>
    <x v="3"/>
    <x v="2"/>
    <x v="1"/>
    <x v="1"/>
    <x v="1"/>
    <x v="1"/>
  </r>
  <r>
    <m/>
    <x v="3"/>
    <x v="0"/>
    <x v="1"/>
    <m/>
    <m/>
    <m/>
    <x v="0"/>
    <m/>
    <x v="3"/>
    <m/>
    <m/>
    <m/>
    <m/>
    <m/>
    <m/>
    <m/>
    <m/>
    <m/>
    <m/>
    <m/>
    <m/>
    <x v="4"/>
    <x v="6"/>
    <x v="3"/>
    <m/>
    <m/>
    <x v="1"/>
    <m/>
    <m/>
    <m/>
    <m/>
    <m/>
    <m/>
    <x v="5"/>
    <x v="1"/>
    <x v="0"/>
    <x v="2"/>
    <x v="1"/>
    <x v="2"/>
    <x v="0"/>
    <x v="1"/>
    <x v="2"/>
    <x v="2"/>
    <x v="1"/>
    <x v="5"/>
    <x v="1"/>
    <x v="2"/>
    <x v="4"/>
    <x v="1"/>
    <x v="5"/>
    <x v="5"/>
    <x v="5"/>
    <x v="5"/>
    <x v="1"/>
    <x v="1"/>
    <x v="0"/>
    <x v="0"/>
    <x v="0"/>
    <x v="0"/>
  </r>
  <r>
    <m/>
    <x v="3"/>
    <x v="0"/>
    <x v="1"/>
    <m/>
    <m/>
    <m/>
    <x v="0"/>
    <m/>
    <x v="2"/>
    <m/>
    <m/>
    <m/>
    <m/>
    <m/>
    <m/>
    <m/>
    <m/>
    <m/>
    <m/>
    <m/>
    <m/>
    <x v="2"/>
    <x v="0"/>
    <x v="0"/>
    <m/>
    <m/>
    <x v="2"/>
    <m/>
    <m/>
    <m/>
    <m/>
    <m/>
    <m/>
    <x v="0"/>
    <x v="0"/>
    <x v="0"/>
    <x v="1"/>
    <x v="1"/>
    <x v="2"/>
    <x v="0"/>
    <x v="0"/>
    <x v="0"/>
    <x v="1"/>
    <x v="0"/>
    <x v="1"/>
    <x v="2"/>
    <x v="0"/>
    <x v="0"/>
    <x v="0"/>
    <x v="1"/>
    <x v="1"/>
    <x v="1"/>
    <x v="1"/>
    <x v="2"/>
    <x v="3"/>
    <x v="2"/>
    <x v="2"/>
    <x v="3"/>
    <x v="3"/>
  </r>
  <r>
    <m/>
    <x v="3"/>
    <x v="0"/>
    <x v="1"/>
    <m/>
    <m/>
    <m/>
    <x v="0"/>
    <m/>
    <x v="2"/>
    <m/>
    <m/>
    <m/>
    <m/>
    <m/>
    <m/>
    <m/>
    <m/>
    <m/>
    <m/>
    <m/>
    <m/>
    <x v="2"/>
    <x v="0"/>
    <x v="0"/>
    <m/>
    <m/>
    <x v="2"/>
    <m/>
    <m/>
    <m/>
    <m/>
    <m/>
    <m/>
    <x v="0"/>
    <x v="2"/>
    <x v="0"/>
    <x v="1"/>
    <x v="1"/>
    <x v="2"/>
    <x v="0"/>
    <x v="3"/>
    <x v="0"/>
    <x v="0"/>
    <x v="2"/>
    <x v="1"/>
    <x v="2"/>
    <x v="0"/>
    <x v="1"/>
    <x v="0"/>
    <x v="4"/>
    <x v="1"/>
    <x v="1"/>
    <x v="1"/>
    <x v="2"/>
    <x v="3"/>
    <x v="3"/>
    <x v="1"/>
    <x v="1"/>
    <x v="2"/>
  </r>
  <r>
    <m/>
    <x v="3"/>
    <x v="0"/>
    <x v="0"/>
    <m/>
    <m/>
    <m/>
    <x v="0"/>
    <m/>
    <x v="3"/>
    <m/>
    <m/>
    <m/>
    <m/>
    <m/>
    <m/>
    <m/>
    <m/>
    <m/>
    <m/>
    <m/>
    <m/>
    <x v="4"/>
    <x v="0"/>
    <x v="0"/>
    <m/>
    <m/>
    <x v="2"/>
    <m/>
    <m/>
    <m/>
    <m/>
    <m/>
    <m/>
    <x v="0"/>
    <x v="4"/>
    <x v="0"/>
    <x v="1"/>
    <x v="1"/>
    <x v="2"/>
    <x v="0"/>
    <x v="0"/>
    <x v="0"/>
    <x v="1"/>
    <x v="2"/>
    <x v="1"/>
    <x v="2"/>
    <x v="0"/>
    <x v="3"/>
    <x v="2"/>
    <x v="1"/>
    <x v="2"/>
    <x v="0"/>
    <x v="2"/>
    <x v="2"/>
    <x v="5"/>
    <x v="3"/>
    <x v="1"/>
    <x v="3"/>
    <x v="1"/>
  </r>
  <r>
    <m/>
    <x v="3"/>
    <x v="0"/>
    <x v="1"/>
    <m/>
    <m/>
    <m/>
    <x v="2"/>
    <m/>
    <x v="2"/>
    <m/>
    <m/>
    <m/>
    <m/>
    <m/>
    <m/>
    <m/>
    <m/>
    <m/>
    <m/>
    <m/>
    <m/>
    <x v="2"/>
    <x v="3"/>
    <x v="0"/>
    <m/>
    <m/>
    <x v="4"/>
    <m/>
    <m/>
    <m/>
    <m/>
    <m/>
    <m/>
    <x v="4"/>
    <x v="3"/>
    <x v="2"/>
    <x v="2"/>
    <x v="4"/>
    <x v="3"/>
    <x v="3"/>
    <x v="0"/>
    <x v="1"/>
    <x v="1"/>
    <x v="2"/>
    <x v="2"/>
    <x v="2"/>
    <x v="0"/>
    <x v="0"/>
    <x v="0"/>
    <x v="4"/>
    <x v="2"/>
    <x v="0"/>
    <x v="2"/>
    <x v="4"/>
    <x v="4"/>
    <x v="2"/>
    <x v="1"/>
    <x v="2"/>
    <x v="1"/>
  </r>
  <r>
    <m/>
    <x v="3"/>
    <x v="0"/>
    <x v="1"/>
    <m/>
    <m/>
    <m/>
    <x v="0"/>
    <m/>
    <x v="3"/>
    <m/>
    <m/>
    <m/>
    <m/>
    <m/>
    <m/>
    <m/>
    <m/>
    <m/>
    <m/>
    <m/>
    <m/>
    <x v="4"/>
    <x v="1"/>
    <x v="0"/>
    <m/>
    <m/>
    <x v="2"/>
    <m/>
    <m/>
    <m/>
    <m/>
    <m/>
    <m/>
    <x v="0"/>
    <x v="2"/>
    <x v="0"/>
    <x v="1"/>
    <x v="1"/>
    <x v="2"/>
    <x v="0"/>
    <x v="0"/>
    <x v="0"/>
    <x v="1"/>
    <x v="0"/>
    <x v="1"/>
    <x v="2"/>
    <x v="0"/>
    <x v="1"/>
    <x v="0"/>
    <x v="1"/>
    <x v="1"/>
    <x v="1"/>
    <x v="1"/>
    <x v="2"/>
    <x v="0"/>
    <x v="2"/>
    <x v="2"/>
    <x v="1"/>
    <x v="1"/>
  </r>
  <r>
    <m/>
    <x v="3"/>
    <x v="0"/>
    <x v="1"/>
    <m/>
    <m/>
    <m/>
    <x v="0"/>
    <m/>
    <x v="3"/>
    <m/>
    <m/>
    <m/>
    <m/>
    <m/>
    <m/>
    <m/>
    <m/>
    <m/>
    <m/>
    <m/>
    <m/>
    <x v="4"/>
    <x v="0"/>
    <x v="0"/>
    <m/>
    <m/>
    <x v="2"/>
    <m/>
    <m/>
    <m/>
    <m/>
    <m/>
    <m/>
    <x v="1"/>
    <x v="4"/>
    <x v="2"/>
    <x v="1"/>
    <x v="1"/>
    <x v="2"/>
    <x v="0"/>
    <x v="0"/>
    <x v="0"/>
    <x v="0"/>
    <x v="0"/>
    <x v="1"/>
    <x v="0"/>
    <x v="1"/>
    <x v="1"/>
    <x v="2"/>
    <x v="3"/>
    <x v="1"/>
    <x v="2"/>
    <x v="2"/>
    <x v="3"/>
    <x v="3"/>
    <x v="1"/>
    <x v="1"/>
    <x v="1"/>
    <x v="2"/>
  </r>
  <r>
    <m/>
    <x v="3"/>
    <x v="0"/>
    <x v="1"/>
    <m/>
    <m/>
    <m/>
    <x v="0"/>
    <m/>
    <x v="3"/>
    <m/>
    <m/>
    <m/>
    <m/>
    <m/>
    <m/>
    <m/>
    <m/>
    <m/>
    <m/>
    <m/>
    <m/>
    <x v="4"/>
    <x v="0"/>
    <x v="0"/>
    <m/>
    <m/>
    <x v="2"/>
    <m/>
    <m/>
    <m/>
    <m/>
    <m/>
    <m/>
    <x v="0"/>
    <x v="2"/>
    <x v="0"/>
    <x v="1"/>
    <x v="1"/>
    <x v="3"/>
    <x v="0"/>
    <x v="0"/>
    <x v="0"/>
    <x v="1"/>
    <x v="0"/>
    <x v="2"/>
    <x v="2"/>
    <x v="0"/>
    <x v="1"/>
    <x v="0"/>
    <x v="1"/>
    <x v="1"/>
    <x v="1"/>
    <x v="1"/>
    <x v="2"/>
    <x v="0"/>
    <x v="1"/>
    <x v="2"/>
    <x v="1"/>
    <x v="2"/>
  </r>
  <r>
    <m/>
    <x v="3"/>
    <x v="0"/>
    <x v="1"/>
    <m/>
    <m/>
    <m/>
    <x v="0"/>
    <m/>
    <x v="2"/>
    <m/>
    <m/>
    <m/>
    <m/>
    <m/>
    <m/>
    <m/>
    <m/>
    <m/>
    <m/>
    <m/>
    <m/>
    <x v="2"/>
    <x v="0"/>
    <x v="0"/>
    <m/>
    <m/>
    <x v="2"/>
    <m/>
    <m/>
    <m/>
    <m/>
    <m/>
    <m/>
    <x v="0"/>
    <x v="3"/>
    <x v="0"/>
    <x v="1"/>
    <x v="1"/>
    <x v="2"/>
    <x v="0"/>
    <x v="0"/>
    <x v="0"/>
    <x v="0"/>
    <x v="0"/>
    <x v="1"/>
    <x v="2"/>
    <x v="0"/>
    <x v="1"/>
    <x v="0"/>
    <x v="3"/>
    <x v="1"/>
    <x v="0"/>
    <x v="1"/>
    <x v="2"/>
    <x v="3"/>
    <x v="2"/>
    <x v="1"/>
    <x v="1"/>
    <x v="1"/>
  </r>
  <r>
    <m/>
    <x v="3"/>
    <x v="0"/>
    <x v="1"/>
    <m/>
    <m/>
    <m/>
    <x v="0"/>
    <m/>
    <x v="2"/>
    <m/>
    <m/>
    <m/>
    <m/>
    <m/>
    <m/>
    <m/>
    <m/>
    <m/>
    <m/>
    <m/>
    <m/>
    <x v="2"/>
    <x v="0"/>
    <x v="0"/>
    <m/>
    <m/>
    <x v="2"/>
    <m/>
    <m/>
    <m/>
    <m/>
    <m/>
    <m/>
    <x v="0"/>
    <x v="2"/>
    <x v="0"/>
    <x v="1"/>
    <x v="1"/>
    <x v="2"/>
    <x v="0"/>
    <x v="0"/>
    <x v="0"/>
    <x v="1"/>
    <x v="0"/>
    <x v="1"/>
    <x v="2"/>
    <x v="0"/>
    <x v="1"/>
    <x v="0"/>
    <x v="1"/>
    <x v="1"/>
    <x v="1"/>
    <x v="1"/>
    <x v="2"/>
    <x v="0"/>
    <x v="3"/>
    <x v="2"/>
    <x v="1"/>
    <x v="2"/>
  </r>
  <r>
    <m/>
    <x v="3"/>
    <x v="1"/>
    <x v="0"/>
    <m/>
    <m/>
    <m/>
    <x v="2"/>
    <m/>
    <x v="3"/>
    <m/>
    <m/>
    <m/>
    <m/>
    <m/>
    <m/>
    <m/>
    <m/>
    <m/>
    <m/>
    <m/>
    <m/>
    <x v="4"/>
    <x v="0"/>
    <x v="0"/>
    <m/>
    <m/>
    <x v="2"/>
    <m/>
    <m/>
    <m/>
    <m/>
    <m/>
    <m/>
    <x v="0"/>
    <x v="2"/>
    <x v="0"/>
    <x v="2"/>
    <x v="1"/>
    <x v="2"/>
    <x v="0"/>
    <x v="0"/>
    <x v="0"/>
    <x v="1"/>
    <x v="2"/>
    <x v="2"/>
    <x v="2"/>
    <x v="0"/>
    <x v="0"/>
    <x v="0"/>
    <x v="3"/>
    <x v="1"/>
    <x v="1"/>
    <x v="1"/>
    <x v="1"/>
    <x v="0"/>
    <x v="2"/>
    <x v="2"/>
    <x v="1"/>
    <x v="2"/>
  </r>
  <r>
    <m/>
    <x v="3"/>
    <x v="1"/>
    <x v="0"/>
    <m/>
    <m/>
    <m/>
    <x v="0"/>
    <m/>
    <x v="3"/>
    <m/>
    <m/>
    <m/>
    <m/>
    <m/>
    <m/>
    <m/>
    <m/>
    <m/>
    <m/>
    <m/>
    <m/>
    <x v="4"/>
    <x v="0"/>
    <x v="1"/>
    <m/>
    <m/>
    <x v="0"/>
    <m/>
    <m/>
    <m/>
    <m/>
    <m/>
    <m/>
    <x v="0"/>
    <x v="4"/>
    <x v="2"/>
    <x v="1"/>
    <x v="4"/>
    <x v="3"/>
    <x v="3"/>
    <x v="0"/>
    <x v="0"/>
    <x v="1"/>
    <x v="0"/>
    <x v="1"/>
    <x v="0"/>
    <x v="0"/>
    <x v="0"/>
    <x v="0"/>
    <x v="3"/>
    <x v="4"/>
    <x v="2"/>
    <x v="3"/>
    <x v="3"/>
    <x v="3"/>
    <x v="2"/>
    <x v="1"/>
    <x v="3"/>
    <x v="3"/>
  </r>
  <r>
    <m/>
    <x v="3"/>
    <x v="1"/>
    <x v="0"/>
    <m/>
    <m/>
    <m/>
    <x v="2"/>
    <m/>
    <x v="3"/>
    <m/>
    <m/>
    <m/>
    <m/>
    <m/>
    <m/>
    <m/>
    <m/>
    <m/>
    <m/>
    <m/>
    <m/>
    <x v="4"/>
    <x v="1"/>
    <x v="1"/>
    <m/>
    <m/>
    <x v="0"/>
    <m/>
    <m/>
    <m/>
    <m/>
    <m/>
    <m/>
    <x v="1"/>
    <x v="4"/>
    <x v="2"/>
    <x v="2"/>
    <x v="4"/>
    <x v="3"/>
    <x v="3"/>
    <x v="3"/>
    <x v="1"/>
    <x v="3"/>
    <x v="2"/>
    <x v="1"/>
    <x v="0"/>
    <x v="1"/>
    <x v="0"/>
    <x v="2"/>
    <x v="3"/>
    <x v="2"/>
    <x v="2"/>
    <x v="3"/>
    <x v="3"/>
    <x v="3"/>
    <x v="1"/>
    <x v="2"/>
    <x v="2"/>
    <x v="1"/>
  </r>
  <r>
    <m/>
    <x v="3"/>
    <x v="1"/>
    <x v="0"/>
    <m/>
    <m/>
    <m/>
    <x v="0"/>
    <m/>
    <x v="2"/>
    <m/>
    <m/>
    <m/>
    <m/>
    <m/>
    <m/>
    <m/>
    <m/>
    <m/>
    <m/>
    <m/>
    <m/>
    <x v="2"/>
    <x v="0"/>
    <x v="1"/>
    <m/>
    <m/>
    <x v="3"/>
    <m/>
    <m/>
    <m/>
    <m/>
    <m/>
    <m/>
    <x v="0"/>
    <x v="2"/>
    <x v="2"/>
    <x v="1"/>
    <x v="3"/>
    <x v="2"/>
    <x v="0"/>
    <x v="0"/>
    <x v="0"/>
    <x v="1"/>
    <x v="0"/>
    <x v="2"/>
    <x v="2"/>
    <x v="0"/>
    <x v="0"/>
    <x v="5"/>
    <x v="3"/>
    <x v="4"/>
    <x v="1"/>
    <x v="1"/>
    <x v="4"/>
    <x v="2"/>
    <x v="2"/>
    <x v="1"/>
    <x v="3"/>
    <x v="3"/>
  </r>
  <r>
    <m/>
    <x v="3"/>
    <x v="1"/>
    <x v="0"/>
    <m/>
    <m/>
    <m/>
    <x v="0"/>
    <m/>
    <x v="3"/>
    <m/>
    <m/>
    <m/>
    <m/>
    <m/>
    <m/>
    <m/>
    <m/>
    <m/>
    <m/>
    <m/>
    <m/>
    <x v="4"/>
    <x v="0"/>
    <x v="0"/>
    <m/>
    <m/>
    <x v="0"/>
    <m/>
    <m/>
    <m/>
    <m/>
    <m/>
    <m/>
    <x v="0"/>
    <x v="4"/>
    <x v="2"/>
    <x v="2"/>
    <x v="1"/>
    <x v="2"/>
    <x v="0"/>
    <x v="0"/>
    <x v="0"/>
    <x v="1"/>
    <x v="0"/>
    <x v="1"/>
    <x v="0"/>
    <x v="1"/>
    <x v="0"/>
    <x v="2"/>
    <x v="0"/>
    <x v="2"/>
    <x v="2"/>
    <x v="3"/>
    <x v="4"/>
    <x v="3"/>
    <x v="1"/>
    <x v="2"/>
    <x v="1"/>
    <x v="1"/>
  </r>
  <r>
    <m/>
    <x v="3"/>
    <x v="1"/>
    <x v="0"/>
    <m/>
    <m/>
    <m/>
    <x v="1"/>
    <m/>
    <x v="1"/>
    <m/>
    <m/>
    <m/>
    <m/>
    <m/>
    <m/>
    <m/>
    <m/>
    <m/>
    <m/>
    <m/>
    <m/>
    <x v="3"/>
    <x v="6"/>
    <x v="5"/>
    <m/>
    <m/>
    <x v="1"/>
    <m/>
    <m/>
    <m/>
    <m/>
    <m/>
    <m/>
    <x v="5"/>
    <x v="1"/>
    <x v="0"/>
    <x v="3"/>
    <x v="2"/>
    <x v="2"/>
    <x v="1"/>
    <x v="1"/>
    <x v="2"/>
    <x v="2"/>
    <x v="1"/>
    <x v="5"/>
    <x v="2"/>
    <x v="2"/>
    <x v="4"/>
    <x v="1"/>
    <x v="5"/>
    <x v="5"/>
    <x v="1"/>
    <x v="5"/>
    <x v="1"/>
    <x v="0"/>
    <x v="0"/>
    <x v="2"/>
    <x v="3"/>
    <x v="1"/>
  </r>
  <r>
    <m/>
    <x v="3"/>
    <x v="1"/>
    <x v="1"/>
    <m/>
    <m/>
    <m/>
    <x v="0"/>
    <m/>
    <x v="2"/>
    <m/>
    <m/>
    <m/>
    <m/>
    <m/>
    <m/>
    <m/>
    <m/>
    <m/>
    <m/>
    <m/>
    <m/>
    <x v="2"/>
    <x v="0"/>
    <x v="0"/>
    <m/>
    <m/>
    <x v="2"/>
    <m/>
    <m/>
    <m/>
    <m/>
    <m/>
    <m/>
    <x v="0"/>
    <x v="2"/>
    <x v="2"/>
    <x v="1"/>
    <x v="1"/>
    <x v="2"/>
    <x v="0"/>
    <x v="0"/>
    <x v="1"/>
    <x v="1"/>
    <x v="2"/>
    <x v="1"/>
    <x v="5"/>
    <x v="0"/>
    <x v="1"/>
    <x v="0"/>
    <x v="1"/>
    <x v="1"/>
    <x v="2"/>
    <x v="1"/>
    <x v="2"/>
    <x v="0"/>
    <x v="1"/>
    <x v="1"/>
    <x v="1"/>
    <x v="1"/>
  </r>
  <r>
    <m/>
    <x v="3"/>
    <x v="1"/>
    <x v="0"/>
    <m/>
    <m/>
    <m/>
    <x v="0"/>
    <m/>
    <x v="1"/>
    <m/>
    <m/>
    <m/>
    <m/>
    <m/>
    <m/>
    <m/>
    <m/>
    <m/>
    <m/>
    <m/>
    <m/>
    <x v="3"/>
    <x v="4"/>
    <x v="1"/>
    <m/>
    <m/>
    <x v="3"/>
    <m/>
    <m/>
    <m/>
    <m/>
    <m/>
    <m/>
    <x v="0"/>
    <x v="2"/>
    <x v="4"/>
    <x v="1"/>
    <x v="4"/>
    <x v="3"/>
    <x v="1"/>
    <x v="0"/>
    <x v="1"/>
    <x v="1"/>
    <x v="2"/>
    <x v="0"/>
    <x v="2"/>
    <x v="0"/>
    <x v="0"/>
    <x v="0"/>
    <x v="0"/>
    <x v="2"/>
    <x v="0"/>
    <x v="3"/>
    <x v="5"/>
    <x v="0"/>
    <x v="1"/>
    <x v="2"/>
    <x v="1"/>
    <x v="3"/>
  </r>
  <r>
    <m/>
    <x v="3"/>
    <x v="0"/>
    <x v="1"/>
    <m/>
    <m/>
    <m/>
    <x v="0"/>
    <m/>
    <x v="2"/>
    <m/>
    <m/>
    <m/>
    <m/>
    <m/>
    <m/>
    <m/>
    <m/>
    <m/>
    <m/>
    <m/>
    <m/>
    <x v="2"/>
    <x v="0"/>
    <x v="1"/>
    <m/>
    <m/>
    <x v="2"/>
    <m/>
    <m/>
    <m/>
    <m/>
    <m/>
    <m/>
    <x v="1"/>
    <x v="4"/>
    <x v="0"/>
    <x v="1"/>
    <x v="1"/>
    <x v="2"/>
    <x v="0"/>
    <x v="0"/>
    <x v="0"/>
    <x v="0"/>
    <x v="4"/>
    <x v="1"/>
    <x v="0"/>
    <x v="0"/>
    <x v="0"/>
    <x v="0"/>
    <x v="0"/>
    <x v="2"/>
    <x v="2"/>
    <x v="1"/>
    <x v="4"/>
    <x v="3"/>
    <x v="1"/>
    <x v="2"/>
    <x v="1"/>
    <x v="1"/>
  </r>
  <r>
    <m/>
    <x v="3"/>
    <x v="0"/>
    <x v="2"/>
    <m/>
    <m/>
    <m/>
    <x v="1"/>
    <m/>
    <x v="0"/>
    <m/>
    <m/>
    <m/>
    <m/>
    <m/>
    <m/>
    <m/>
    <m/>
    <m/>
    <m/>
    <m/>
    <m/>
    <x v="5"/>
    <x v="2"/>
    <x v="5"/>
    <m/>
    <m/>
    <x v="3"/>
    <m/>
    <m/>
    <m/>
    <m/>
    <m/>
    <m/>
    <x v="4"/>
    <x v="0"/>
    <x v="4"/>
    <x v="0"/>
    <x v="0"/>
    <x v="0"/>
    <x v="4"/>
    <x v="3"/>
    <x v="4"/>
    <x v="0"/>
    <x v="4"/>
    <x v="3"/>
    <x v="3"/>
    <x v="3"/>
    <x v="5"/>
    <x v="3"/>
    <x v="4"/>
    <x v="0"/>
    <x v="0"/>
    <x v="2"/>
    <x v="0"/>
    <x v="2"/>
    <x v="0"/>
    <x v="0"/>
    <x v="0"/>
    <x v="0"/>
  </r>
  <r>
    <m/>
    <x v="4"/>
    <x v="2"/>
    <x v="0"/>
    <m/>
    <m/>
    <m/>
    <x v="0"/>
    <m/>
    <x v="2"/>
    <m/>
    <m/>
    <m/>
    <m/>
    <m/>
    <m/>
    <m/>
    <m/>
    <m/>
    <m/>
    <m/>
    <m/>
    <x v="0"/>
    <x v="0"/>
    <x v="1"/>
    <m/>
    <m/>
    <x v="0"/>
    <m/>
    <m/>
    <m/>
    <m/>
    <m/>
    <m/>
    <x v="0"/>
    <x v="5"/>
    <x v="0"/>
    <x v="1"/>
    <x v="1"/>
    <x v="2"/>
    <x v="3"/>
    <x v="0"/>
    <x v="0"/>
    <x v="3"/>
    <x v="2"/>
    <x v="2"/>
    <x v="0"/>
    <x v="0"/>
    <x v="2"/>
    <x v="2"/>
    <x v="1"/>
    <x v="2"/>
    <x v="2"/>
    <x v="3"/>
    <x v="3"/>
    <x v="2"/>
    <x v="2"/>
    <x v="1"/>
    <x v="3"/>
    <x v="1"/>
  </r>
  <r>
    <m/>
    <x v="4"/>
    <x v="2"/>
    <x v="1"/>
    <m/>
    <m/>
    <m/>
    <x v="0"/>
    <m/>
    <x v="2"/>
    <m/>
    <m/>
    <m/>
    <m/>
    <m/>
    <m/>
    <m/>
    <m/>
    <m/>
    <m/>
    <m/>
    <m/>
    <x v="0"/>
    <x v="0"/>
    <x v="0"/>
    <m/>
    <m/>
    <x v="2"/>
    <m/>
    <m/>
    <m/>
    <m/>
    <m/>
    <m/>
    <x v="1"/>
    <x v="5"/>
    <x v="0"/>
    <x v="1"/>
    <x v="1"/>
    <x v="2"/>
    <x v="3"/>
    <x v="0"/>
    <x v="0"/>
    <x v="3"/>
    <x v="2"/>
    <x v="0"/>
    <x v="0"/>
    <x v="0"/>
    <x v="1"/>
    <x v="0"/>
    <x v="0"/>
    <x v="4"/>
    <x v="3"/>
    <x v="3"/>
    <x v="3"/>
    <x v="3"/>
    <x v="1"/>
    <x v="2"/>
    <x v="1"/>
    <x v="2"/>
  </r>
  <r>
    <m/>
    <x v="4"/>
    <x v="4"/>
    <x v="2"/>
    <m/>
    <m/>
    <m/>
    <x v="3"/>
    <m/>
    <x v="5"/>
    <m/>
    <m/>
    <m/>
    <m/>
    <m/>
    <m/>
    <m/>
    <m/>
    <m/>
    <m/>
    <m/>
    <m/>
    <x v="2"/>
    <x v="0"/>
    <x v="1"/>
    <m/>
    <m/>
    <x v="2"/>
    <m/>
    <m/>
    <m/>
    <m/>
    <m/>
    <m/>
    <x v="2"/>
    <x v="0"/>
    <x v="5"/>
    <x v="4"/>
    <x v="3"/>
    <x v="3"/>
    <x v="5"/>
    <x v="0"/>
    <x v="1"/>
    <x v="0"/>
    <x v="5"/>
    <x v="0"/>
    <x v="5"/>
    <x v="4"/>
    <x v="0"/>
    <x v="0"/>
    <x v="3"/>
    <x v="4"/>
    <x v="1"/>
    <x v="1"/>
    <x v="3"/>
    <x v="0"/>
    <x v="3"/>
    <x v="2"/>
    <x v="1"/>
    <x v="1"/>
  </r>
  <r>
    <m/>
    <x v="4"/>
    <x v="2"/>
    <x v="1"/>
    <m/>
    <m/>
    <m/>
    <x v="0"/>
    <m/>
    <x v="2"/>
    <m/>
    <m/>
    <m/>
    <m/>
    <m/>
    <m/>
    <m/>
    <m/>
    <m/>
    <m/>
    <m/>
    <m/>
    <x v="0"/>
    <x v="0"/>
    <x v="1"/>
    <m/>
    <m/>
    <x v="2"/>
    <m/>
    <m/>
    <m/>
    <m/>
    <m/>
    <m/>
    <x v="1"/>
    <x v="2"/>
    <x v="0"/>
    <x v="1"/>
    <x v="4"/>
    <x v="2"/>
    <x v="0"/>
    <x v="0"/>
    <x v="0"/>
    <x v="1"/>
    <x v="2"/>
    <x v="1"/>
    <x v="0"/>
    <x v="0"/>
    <x v="2"/>
    <x v="0"/>
    <x v="4"/>
    <x v="2"/>
    <x v="2"/>
    <x v="3"/>
    <x v="3"/>
    <x v="4"/>
    <x v="3"/>
    <x v="2"/>
    <x v="1"/>
    <x v="1"/>
  </r>
  <r>
    <m/>
    <x v="4"/>
    <x v="2"/>
    <x v="1"/>
    <m/>
    <m/>
    <m/>
    <x v="0"/>
    <m/>
    <x v="2"/>
    <m/>
    <m/>
    <m/>
    <m/>
    <m/>
    <m/>
    <m/>
    <m/>
    <m/>
    <m/>
    <m/>
    <m/>
    <x v="0"/>
    <x v="0"/>
    <x v="0"/>
    <m/>
    <m/>
    <x v="2"/>
    <m/>
    <m/>
    <m/>
    <m/>
    <m/>
    <m/>
    <x v="0"/>
    <x v="2"/>
    <x v="0"/>
    <x v="1"/>
    <x v="1"/>
    <x v="2"/>
    <x v="0"/>
    <x v="0"/>
    <x v="0"/>
    <x v="1"/>
    <x v="0"/>
    <x v="1"/>
    <x v="3"/>
    <x v="0"/>
    <x v="0"/>
    <x v="0"/>
    <x v="3"/>
    <x v="1"/>
    <x v="1"/>
    <x v="1"/>
    <x v="2"/>
    <x v="0"/>
    <x v="3"/>
    <x v="1"/>
    <x v="1"/>
    <x v="2"/>
  </r>
  <r>
    <m/>
    <x v="4"/>
    <x v="2"/>
    <x v="1"/>
    <m/>
    <m/>
    <m/>
    <x v="0"/>
    <m/>
    <x v="2"/>
    <m/>
    <m/>
    <m/>
    <m/>
    <m/>
    <m/>
    <m/>
    <m/>
    <m/>
    <m/>
    <m/>
    <m/>
    <x v="0"/>
    <x v="0"/>
    <x v="0"/>
    <m/>
    <m/>
    <x v="2"/>
    <m/>
    <m/>
    <m/>
    <m/>
    <m/>
    <m/>
    <x v="0"/>
    <x v="2"/>
    <x v="0"/>
    <x v="1"/>
    <x v="1"/>
    <x v="2"/>
    <x v="0"/>
    <x v="0"/>
    <x v="0"/>
    <x v="1"/>
    <x v="0"/>
    <x v="2"/>
    <x v="2"/>
    <x v="0"/>
    <x v="1"/>
    <x v="0"/>
    <x v="1"/>
    <x v="1"/>
    <x v="1"/>
    <x v="1"/>
    <x v="2"/>
    <x v="0"/>
    <x v="1"/>
    <x v="1"/>
    <x v="1"/>
    <x v="2"/>
  </r>
  <r>
    <m/>
    <x v="4"/>
    <x v="2"/>
    <x v="1"/>
    <m/>
    <m/>
    <m/>
    <x v="0"/>
    <m/>
    <x v="2"/>
    <m/>
    <m/>
    <m/>
    <m/>
    <m/>
    <m/>
    <m/>
    <m/>
    <m/>
    <m/>
    <m/>
    <m/>
    <x v="0"/>
    <x v="0"/>
    <x v="0"/>
    <m/>
    <m/>
    <x v="2"/>
    <m/>
    <m/>
    <m/>
    <m/>
    <m/>
    <m/>
    <x v="0"/>
    <x v="2"/>
    <x v="0"/>
    <x v="2"/>
    <x v="1"/>
    <x v="3"/>
    <x v="3"/>
    <x v="0"/>
    <x v="0"/>
    <x v="1"/>
    <x v="2"/>
    <x v="2"/>
    <x v="0"/>
    <x v="0"/>
    <x v="0"/>
    <x v="0"/>
    <x v="3"/>
    <x v="2"/>
    <x v="1"/>
    <x v="1"/>
    <x v="3"/>
    <x v="0"/>
    <x v="1"/>
    <x v="2"/>
    <x v="1"/>
    <x v="2"/>
  </r>
  <r>
    <m/>
    <x v="4"/>
    <x v="2"/>
    <x v="1"/>
    <m/>
    <m/>
    <m/>
    <x v="0"/>
    <m/>
    <x v="2"/>
    <m/>
    <m/>
    <m/>
    <m/>
    <m/>
    <m/>
    <m/>
    <m/>
    <m/>
    <m/>
    <m/>
    <m/>
    <x v="0"/>
    <x v="0"/>
    <x v="0"/>
    <m/>
    <m/>
    <x v="2"/>
    <m/>
    <m/>
    <m/>
    <m/>
    <m/>
    <m/>
    <x v="0"/>
    <x v="2"/>
    <x v="0"/>
    <x v="1"/>
    <x v="1"/>
    <x v="2"/>
    <x v="3"/>
    <x v="0"/>
    <x v="0"/>
    <x v="1"/>
    <x v="0"/>
    <x v="1"/>
    <x v="2"/>
    <x v="0"/>
    <x v="1"/>
    <x v="0"/>
    <x v="3"/>
    <x v="1"/>
    <x v="1"/>
    <x v="1"/>
    <x v="3"/>
    <x v="0"/>
    <x v="2"/>
    <x v="1"/>
    <x v="1"/>
    <x v="2"/>
  </r>
  <r>
    <m/>
    <x v="4"/>
    <x v="2"/>
    <x v="1"/>
    <m/>
    <m/>
    <m/>
    <x v="2"/>
    <m/>
    <x v="3"/>
    <m/>
    <m/>
    <m/>
    <m/>
    <m/>
    <m/>
    <m/>
    <m/>
    <m/>
    <m/>
    <m/>
    <m/>
    <x v="0"/>
    <x v="0"/>
    <x v="0"/>
    <m/>
    <m/>
    <x v="2"/>
    <m/>
    <m/>
    <m/>
    <m/>
    <m/>
    <m/>
    <x v="0"/>
    <x v="2"/>
    <x v="0"/>
    <x v="1"/>
    <x v="4"/>
    <x v="2"/>
    <x v="3"/>
    <x v="0"/>
    <x v="0"/>
    <x v="1"/>
    <x v="0"/>
    <x v="1"/>
    <x v="3"/>
    <x v="0"/>
    <x v="0"/>
    <x v="0"/>
    <x v="3"/>
    <x v="2"/>
    <x v="1"/>
    <x v="1"/>
    <x v="5"/>
    <x v="0"/>
    <x v="2"/>
    <x v="2"/>
    <x v="1"/>
    <x v="1"/>
  </r>
  <r>
    <m/>
    <x v="4"/>
    <x v="2"/>
    <x v="1"/>
    <m/>
    <m/>
    <m/>
    <x v="0"/>
    <m/>
    <x v="2"/>
    <m/>
    <m/>
    <m/>
    <m/>
    <m/>
    <m/>
    <m/>
    <m/>
    <m/>
    <m/>
    <m/>
    <m/>
    <x v="0"/>
    <x v="0"/>
    <x v="0"/>
    <m/>
    <m/>
    <x v="2"/>
    <m/>
    <m/>
    <m/>
    <m/>
    <m/>
    <m/>
    <x v="0"/>
    <x v="1"/>
    <x v="0"/>
    <x v="1"/>
    <x v="1"/>
    <x v="2"/>
    <x v="0"/>
    <x v="0"/>
    <x v="0"/>
    <x v="1"/>
    <x v="0"/>
    <x v="2"/>
    <x v="2"/>
    <x v="0"/>
    <x v="0"/>
    <x v="0"/>
    <x v="0"/>
    <x v="2"/>
    <x v="1"/>
    <x v="2"/>
    <x v="2"/>
    <x v="3"/>
    <x v="3"/>
    <x v="1"/>
    <x v="1"/>
    <x v="2"/>
  </r>
  <r>
    <m/>
    <x v="4"/>
    <x v="2"/>
    <x v="1"/>
    <m/>
    <m/>
    <m/>
    <x v="2"/>
    <m/>
    <x v="2"/>
    <m/>
    <m/>
    <m/>
    <m/>
    <m/>
    <m/>
    <m/>
    <m/>
    <m/>
    <m/>
    <m/>
    <m/>
    <x v="4"/>
    <x v="0"/>
    <x v="0"/>
    <m/>
    <m/>
    <x v="3"/>
    <m/>
    <m/>
    <m/>
    <m/>
    <m/>
    <m/>
    <x v="1"/>
    <x v="4"/>
    <x v="2"/>
    <x v="2"/>
    <x v="1"/>
    <x v="2"/>
    <x v="3"/>
    <x v="2"/>
    <x v="0"/>
    <x v="1"/>
    <x v="2"/>
    <x v="1"/>
    <x v="2"/>
    <x v="1"/>
    <x v="3"/>
    <x v="2"/>
    <x v="2"/>
    <x v="3"/>
    <x v="1"/>
    <x v="3"/>
    <x v="3"/>
    <x v="0"/>
    <x v="1"/>
    <x v="2"/>
    <x v="3"/>
    <x v="3"/>
  </r>
  <r>
    <m/>
    <x v="4"/>
    <x v="2"/>
    <x v="1"/>
    <m/>
    <m/>
    <m/>
    <x v="0"/>
    <m/>
    <x v="2"/>
    <m/>
    <m/>
    <m/>
    <m/>
    <m/>
    <m/>
    <m/>
    <m/>
    <m/>
    <m/>
    <m/>
    <m/>
    <x v="0"/>
    <x v="0"/>
    <x v="0"/>
    <m/>
    <m/>
    <x v="2"/>
    <m/>
    <m/>
    <m/>
    <m/>
    <m/>
    <m/>
    <x v="0"/>
    <x v="2"/>
    <x v="0"/>
    <x v="1"/>
    <x v="1"/>
    <x v="2"/>
    <x v="0"/>
    <x v="0"/>
    <x v="0"/>
    <x v="1"/>
    <x v="0"/>
    <x v="2"/>
    <x v="2"/>
    <x v="0"/>
    <x v="1"/>
    <x v="0"/>
    <x v="1"/>
    <x v="1"/>
    <x v="1"/>
    <x v="1"/>
    <x v="2"/>
    <x v="3"/>
    <x v="1"/>
    <x v="1"/>
    <x v="1"/>
    <x v="2"/>
  </r>
  <r>
    <m/>
    <x v="4"/>
    <x v="2"/>
    <x v="1"/>
    <m/>
    <m/>
    <m/>
    <x v="0"/>
    <m/>
    <x v="0"/>
    <m/>
    <m/>
    <m/>
    <m/>
    <m/>
    <m/>
    <m/>
    <m/>
    <m/>
    <m/>
    <m/>
    <m/>
    <x v="0"/>
    <x v="0"/>
    <x v="0"/>
    <m/>
    <m/>
    <x v="2"/>
    <m/>
    <m/>
    <m/>
    <m/>
    <m/>
    <m/>
    <x v="0"/>
    <x v="2"/>
    <x v="0"/>
    <x v="1"/>
    <x v="1"/>
    <x v="2"/>
    <x v="0"/>
    <x v="0"/>
    <x v="0"/>
    <x v="1"/>
    <x v="0"/>
    <x v="2"/>
    <x v="3"/>
    <x v="0"/>
    <x v="1"/>
    <x v="0"/>
    <x v="3"/>
    <x v="1"/>
    <x v="1"/>
    <x v="1"/>
    <x v="3"/>
    <x v="0"/>
    <x v="3"/>
    <x v="1"/>
    <x v="1"/>
    <x v="1"/>
  </r>
  <r>
    <m/>
    <x v="4"/>
    <x v="2"/>
    <x v="1"/>
    <m/>
    <m/>
    <m/>
    <x v="0"/>
    <m/>
    <x v="0"/>
    <m/>
    <m/>
    <m/>
    <m/>
    <m/>
    <m/>
    <m/>
    <m/>
    <m/>
    <m/>
    <m/>
    <m/>
    <x v="0"/>
    <x v="0"/>
    <x v="0"/>
    <m/>
    <m/>
    <x v="2"/>
    <m/>
    <m/>
    <m/>
    <m/>
    <m/>
    <m/>
    <x v="4"/>
    <x v="3"/>
    <x v="0"/>
    <x v="1"/>
    <x v="0"/>
    <x v="2"/>
    <x v="4"/>
    <x v="0"/>
    <x v="0"/>
    <x v="1"/>
    <x v="0"/>
    <x v="4"/>
    <x v="4"/>
    <x v="0"/>
    <x v="0"/>
    <x v="2"/>
    <x v="2"/>
    <x v="3"/>
    <x v="1"/>
    <x v="1"/>
    <x v="3"/>
    <x v="2"/>
    <x v="3"/>
    <x v="1"/>
    <x v="1"/>
    <x v="1"/>
  </r>
  <r>
    <m/>
    <x v="4"/>
    <x v="2"/>
    <x v="1"/>
    <m/>
    <m/>
    <m/>
    <x v="0"/>
    <m/>
    <x v="2"/>
    <m/>
    <m/>
    <m/>
    <m/>
    <m/>
    <m/>
    <m/>
    <m/>
    <m/>
    <m/>
    <m/>
    <m/>
    <x v="0"/>
    <x v="0"/>
    <x v="0"/>
    <m/>
    <m/>
    <x v="2"/>
    <m/>
    <m/>
    <m/>
    <m/>
    <m/>
    <m/>
    <x v="0"/>
    <x v="2"/>
    <x v="0"/>
    <x v="1"/>
    <x v="1"/>
    <x v="2"/>
    <x v="0"/>
    <x v="0"/>
    <x v="0"/>
    <x v="1"/>
    <x v="0"/>
    <x v="2"/>
    <x v="2"/>
    <x v="0"/>
    <x v="1"/>
    <x v="0"/>
    <x v="1"/>
    <x v="1"/>
    <x v="1"/>
    <x v="1"/>
    <x v="3"/>
    <x v="0"/>
    <x v="3"/>
    <x v="1"/>
    <x v="1"/>
    <x v="2"/>
  </r>
  <r>
    <m/>
    <x v="4"/>
    <x v="2"/>
    <x v="1"/>
    <m/>
    <m/>
    <m/>
    <x v="0"/>
    <m/>
    <x v="2"/>
    <m/>
    <m/>
    <m/>
    <m/>
    <m/>
    <m/>
    <m/>
    <m/>
    <m/>
    <m/>
    <m/>
    <m/>
    <x v="0"/>
    <x v="0"/>
    <x v="0"/>
    <m/>
    <m/>
    <x v="2"/>
    <m/>
    <m/>
    <m/>
    <m/>
    <m/>
    <m/>
    <x v="0"/>
    <x v="2"/>
    <x v="0"/>
    <x v="1"/>
    <x v="1"/>
    <x v="2"/>
    <x v="0"/>
    <x v="0"/>
    <x v="4"/>
    <x v="1"/>
    <x v="0"/>
    <x v="2"/>
    <x v="3"/>
    <x v="0"/>
    <x v="2"/>
    <x v="2"/>
    <x v="1"/>
    <x v="1"/>
    <x v="1"/>
    <x v="1"/>
    <x v="2"/>
    <x v="0"/>
    <x v="2"/>
    <x v="2"/>
    <x v="2"/>
    <x v="2"/>
  </r>
  <r>
    <m/>
    <x v="4"/>
    <x v="4"/>
    <x v="2"/>
    <m/>
    <m/>
    <m/>
    <x v="0"/>
    <m/>
    <x v="2"/>
    <m/>
    <m/>
    <m/>
    <m/>
    <m/>
    <m/>
    <m/>
    <m/>
    <m/>
    <m/>
    <m/>
    <m/>
    <x v="0"/>
    <x v="0"/>
    <x v="0"/>
    <m/>
    <m/>
    <x v="2"/>
    <m/>
    <m/>
    <m/>
    <m/>
    <m/>
    <m/>
    <x v="2"/>
    <x v="4"/>
    <x v="0"/>
    <x v="1"/>
    <x v="1"/>
    <x v="2"/>
    <x v="3"/>
    <x v="0"/>
    <x v="0"/>
    <x v="1"/>
    <x v="2"/>
    <x v="1"/>
    <x v="0"/>
    <x v="0"/>
    <x v="1"/>
    <x v="0"/>
    <x v="3"/>
    <x v="1"/>
    <x v="1"/>
    <x v="1"/>
    <x v="2"/>
    <x v="2"/>
    <x v="1"/>
    <x v="1"/>
    <x v="1"/>
    <x v="2"/>
  </r>
  <r>
    <m/>
    <x v="4"/>
    <x v="4"/>
    <x v="2"/>
    <m/>
    <m/>
    <m/>
    <x v="2"/>
    <m/>
    <x v="3"/>
    <m/>
    <m/>
    <m/>
    <m/>
    <m/>
    <m/>
    <m/>
    <m/>
    <m/>
    <m/>
    <m/>
    <m/>
    <x v="0"/>
    <x v="0"/>
    <x v="2"/>
    <m/>
    <m/>
    <x v="0"/>
    <m/>
    <m/>
    <m/>
    <m/>
    <m/>
    <m/>
    <x v="1"/>
    <x v="4"/>
    <x v="2"/>
    <x v="2"/>
    <x v="4"/>
    <x v="3"/>
    <x v="3"/>
    <x v="2"/>
    <x v="0"/>
    <x v="3"/>
    <x v="2"/>
    <x v="1"/>
    <x v="0"/>
    <x v="1"/>
    <x v="0"/>
    <x v="2"/>
    <x v="3"/>
    <x v="2"/>
    <x v="2"/>
    <x v="3"/>
    <x v="3"/>
    <x v="2"/>
    <x v="1"/>
    <x v="2"/>
    <x v="3"/>
    <x v="2"/>
  </r>
  <r>
    <m/>
    <x v="4"/>
    <x v="4"/>
    <x v="0"/>
    <m/>
    <m/>
    <m/>
    <x v="0"/>
    <m/>
    <x v="3"/>
    <m/>
    <m/>
    <m/>
    <m/>
    <m/>
    <m/>
    <m/>
    <m/>
    <m/>
    <m/>
    <m/>
    <m/>
    <x v="4"/>
    <x v="0"/>
    <x v="4"/>
    <m/>
    <m/>
    <x v="2"/>
    <m/>
    <m/>
    <m/>
    <m/>
    <m/>
    <m/>
    <x v="0"/>
    <x v="2"/>
    <x v="2"/>
    <x v="5"/>
    <x v="3"/>
    <x v="2"/>
    <x v="5"/>
    <x v="0"/>
    <x v="1"/>
    <x v="3"/>
    <x v="2"/>
    <x v="1"/>
    <x v="3"/>
    <x v="0"/>
    <x v="2"/>
    <x v="0"/>
    <x v="0"/>
    <x v="2"/>
    <x v="1"/>
    <x v="1"/>
    <x v="3"/>
    <x v="2"/>
    <x v="1"/>
    <x v="1"/>
    <x v="1"/>
    <x v="1"/>
  </r>
  <r>
    <m/>
    <x v="4"/>
    <x v="4"/>
    <x v="1"/>
    <m/>
    <m/>
    <m/>
    <x v="2"/>
    <m/>
    <x v="3"/>
    <m/>
    <m/>
    <m/>
    <m/>
    <m/>
    <m/>
    <m/>
    <m/>
    <m/>
    <m/>
    <m/>
    <m/>
    <x v="4"/>
    <x v="3"/>
    <x v="1"/>
    <m/>
    <m/>
    <x v="0"/>
    <m/>
    <m/>
    <m/>
    <m/>
    <m/>
    <m/>
    <x v="1"/>
    <x v="4"/>
    <x v="2"/>
    <x v="2"/>
    <x v="4"/>
    <x v="3"/>
    <x v="5"/>
    <x v="4"/>
    <x v="1"/>
    <x v="3"/>
    <x v="2"/>
    <x v="1"/>
    <x v="0"/>
    <x v="1"/>
    <x v="4"/>
    <x v="2"/>
    <x v="3"/>
    <x v="2"/>
    <x v="2"/>
    <x v="3"/>
    <x v="3"/>
    <x v="3"/>
    <x v="3"/>
    <x v="2"/>
    <x v="2"/>
    <x v="2"/>
  </r>
  <r>
    <m/>
    <x v="4"/>
    <x v="4"/>
    <x v="1"/>
    <m/>
    <m/>
    <m/>
    <x v="0"/>
    <m/>
    <x v="2"/>
    <m/>
    <m/>
    <m/>
    <m/>
    <m/>
    <m/>
    <m/>
    <m/>
    <m/>
    <m/>
    <m/>
    <m/>
    <x v="0"/>
    <x v="0"/>
    <x v="0"/>
    <m/>
    <m/>
    <x v="2"/>
    <m/>
    <m/>
    <m/>
    <m/>
    <m/>
    <m/>
    <x v="0"/>
    <x v="4"/>
    <x v="2"/>
    <x v="1"/>
    <x v="1"/>
    <x v="2"/>
    <x v="0"/>
    <x v="0"/>
    <x v="0"/>
    <x v="3"/>
    <x v="2"/>
    <x v="1"/>
    <x v="0"/>
    <x v="0"/>
    <x v="1"/>
    <x v="0"/>
    <x v="3"/>
    <x v="1"/>
    <x v="2"/>
    <x v="1"/>
    <x v="2"/>
    <x v="3"/>
    <x v="2"/>
    <x v="2"/>
    <x v="1"/>
    <x v="1"/>
  </r>
  <r>
    <m/>
    <x v="4"/>
    <x v="4"/>
    <x v="1"/>
    <m/>
    <m/>
    <m/>
    <x v="0"/>
    <m/>
    <x v="0"/>
    <m/>
    <m/>
    <m/>
    <m/>
    <m/>
    <m/>
    <m/>
    <m/>
    <m/>
    <m/>
    <m/>
    <m/>
    <x v="5"/>
    <x v="6"/>
    <x v="5"/>
    <m/>
    <m/>
    <x v="3"/>
    <m/>
    <m/>
    <m/>
    <m/>
    <m/>
    <m/>
    <x v="1"/>
    <x v="4"/>
    <x v="2"/>
    <x v="2"/>
    <x v="0"/>
    <x v="3"/>
    <x v="1"/>
    <x v="2"/>
    <x v="2"/>
    <x v="3"/>
    <x v="4"/>
    <x v="1"/>
    <x v="0"/>
    <x v="2"/>
    <x v="0"/>
    <x v="1"/>
    <x v="1"/>
    <x v="0"/>
    <x v="0"/>
    <x v="2"/>
    <x v="2"/>
    <x v="0"/>
    <x v="0"/>
    <x v="1"/>
    <x v="2"/>
    <x v="1"/>
  </r>
  <r>
    <m/>
    <x v="4"/>
    <x v="4"/>
    <x v="1"/>
    <m/>
    <m/>
    <m/>
    <x v="0"/>
    <m/>
    <x v="2"/>
    <m/>
    <m/>
    <m/>
    <m/>
    <m/>
    <m/>
    <m/>
    <m/>
    <m/>
    <m/>
    <m/>
    <m/>
    <x v="1"/>
    <x v="4"/>
    <x v="0"/>
    <m/>
    <m/>
    <x v="4"/>
    <m/>
    <m/>
    <m/>
    <m/>
    <m/>
    <m/>
    <x v="1"/>
    <x v="5"/>
    <x v="0"/>
    <x v="2"/>
    <x v="3"/>
    <x v="2"/>
    <x v="0"/>
    <x v="0"/>
    <x v="0"/>
    <x v="1"/>
    <x v="5"/>
    <x v="1"/>
    <x v="0"/>
    <x v="0"/>
    <x v="2"/>
    <x v="0"/>
    <x v="3"/>
    <x v="2"/>
    <x v="2"/>
    <x v="3"/>
    <x v="4"/>
    <x v="2"/>
    <x v="1"/>
    <x v="2"/>
    <x v="2"/>
    <x v="2"/>
  </r>
  <r>
    <m/>
    <x v="4"/>
    <x v="4"/>
    <x v="1"/>
    <m/>
    <m/>
    <m/>
    <x v="0"/>
    <m/>
    <x v="2"/>
    <m/>
    <m/>
    <m/>
    <m/>
    <m/>
    <m/>
    <m/>
    <m/>
    <m/>
    <m/>
    <m/>
    <m/>
    <x v="0"/>
    <x v="0"/>
    <x v="0"/>
    <m/>
    <m/>
    <x v="2"/>
    <m/>
    <m/>
    <m/>
    <m/>
    <m/>
    <m/>
    <x v="0"/>
    <x v="2"/>
    <x v="0"/>
    <x v="2"/>
    <x v="1"/>
    <x v="2"/>
    <x v="0"/>
    <x v="0"/>
    <x v="0"/>
    <x v="1"/>
    <x v="0"/>
    <x v="2"/>
    <x v="2"/>
    <x v="0"/>
    <x v="1"/>
    <x v="0"/>
    <x v="1"/>
    <x v="1"/>
    <x v="1"/>
    <x v="1"/>
    <x v="2"/>
    <x v="5"/>
    <x v="1"/>
    <x v="2"/>
    <x v="3"/>
    <x v="2"/>
  </r>
  <r>
    <m/>
    <x v="4"/>
    <x v="4"/>
    <x v="1"/>
    <m/>
    <m/>
    <m/>
    <x v="0"/>
    <m/>
    <x v="2"/>
    <m/>
    <m/>
    <m/>
    <m/>
    <m/>
    <m/>
    <m/>
    <m/>
    <m/>
    <m/>
    <m/>
    <m/>
    <x v="0"/>
    <x v="0"/>
    <x v="0"/>
    <m/>
    <m/>
    <x v="2"/>
    <m/>
    <m/>
    <m/>
    <m/>
    <m/>
    <m/>
    <x v="0"/>
    <x v="2"/>
    <x v="4"/>
    <x v="1"/>
    <x v="4"/>
    <x v="2"/>
    <x v="0"/>
    <x v="0"/>
    <x v="0"/>
    <x v="3"/>
    <x v="2"/>
    <x v="0"/>
    <x v="3"/>
    <x v="0"/>
    <x v="0"/>
    <x v="0"/>
    <x v="1"/>
    <x v="1"/>
    <x v="1"/>
    <x v="1"/>
    <x v="2"/>
    <x v="0"/>
    <x v="1"/>
    <x v="2"/>
    <x v="1"/>
    <x v="2"/>
  </r>
  <r>
    <m/>
    <x v="4"/>
    <x v="1"/>
    <x v="1"/>
    <m/>
    <m/>
    <m/>
    <x v="2"/>
    <m/>
    <x v="3"/>
    <m/>
    <m/>
    <m/>
    <m/>
    <m/>
    <m/>
    <m/>
    <m/>
    <m/>
    <m/>
    <m/>
    <m/>
    <x v="0"/>
    <x v="0"/>
    <x v="1"/>
    <m/>
    <m/>
    <x v="0"/>
    <m/>
    <m/>
    <m/>
    <m/>
    <m/>
    <m/>
    <x v="1"/>
    <x v="4"/>
    <x v="2"/>
    <x v="2"/>
    <x v="4"/>
    <x v="3"/>
    <x v="3"/>
    <x v="2"/>
    <x v="1"/>
    <x v="3"/>
    <x v="2"/>
    <x v="1"/>
    <x v="0"/>
    <x v="1"/>
    <x v="2"/>
    <x v="2"/>
    <x v="0"/>
    <x v="2"/>
    <x v="2"/>
    <x v="1"/>
    <x v="4"/>
    <x v="3"/>
    <x v="3"/>
    <x v="2"/>
    <x v="1"/>
    <x v="3"/>
  </r>
  <r>
    <m/>
    <x v="4"/>
    <x v="1"/>
    <x v="1"/>
    <m/>
    <m/>
    <m/>
    <x v="2"/>
    <m/>
    <x v="3"/>
    <m/>
    <m/>
    <m/>
    <m/>
    <m/>
    <m/>
    <m/>
    <m/>
    <m/>
    <m/>
    <m/>
    <m/>
    <x v="0"/>
    <x v="0"/>
    <x v="1"/>
    <m/>
    <m/>
    <x v="2"/>
    <m/>
    <m/>
    <m/>
    <m/>
    <m/>
    <m/>
    <x v="1"/>
    <x v="2"/>
    <x v="0"/>
    <x v="2"/>
    <x v="1"/>
    <x v="2"/>
    <x v="4"/>
    <x v="2"/>
    <x v="1"/>
    <x v="1"/>
    <x v="2"/>
    <x v="1"/>
    <x v="0"/>
    <x v="1"/>
    <x v="1"/>
    <x v="0"/>
    <x v="3"/>
    <x v="2"/>
    <x v="2"/>
    <x v="1"/>
    <x v="5"/>
    <x v="3"/>
    <x v="3"/>
    <x v="2"/>
    <x v="1"/>
    <x v="1"/>
  </r>
  <r>
    <m/>
    <x v="4"/>
    <x v="1"/>
    <x v="0"/>
    <m/>
    <m/>
    <m/>
    <x v="0"/>
    <m/>
    <x v="3"/>
    <m/>
    <m/>
    <m/>
    <m/>
    <m/>
    <m/>
    <m/>
    <m/>
    <m/>
    <m/>
    <m/>
    <m/>
    <x v="0"/>
    <x v="0"/>
    <x v="0"/>
    <m/>
    <m/>
    <x v="2"/>
    <m/>
    <m/>
    <m/>
    <m/>
    <m/>
    <m/>
    <x v="1"/>
    <x v="4"/>
    <x v="0"/>
    <x v="2"/>
    <x v="1"/>
    <x v="2"/>
    <x v="3"/>
    <x v="0"/>
    <x v="0"/>
    <x v="1"/>
    <x v="0"/>
    <x v="1"/>
    <x v="5"/>
    <x v="0"/>
    <x v="0"/>
    <x v="0"/>
    <x v="3"/>
    <x v="4"/>
    <x v="1"/>
    <x v="1"/>
    <x v="4"/>
    <x v="0"/>
    <x v="3"/>
    <x v="1"/>
    <x v="1"/>
    <x v="1"/>
  </r>
  <r>
    <m/>
    <x v="4"/>
    <x v="1"/>
    <x v="1"/>
    <m/>
    <m/>
    <m/>
    <x v="0"/>
    <m/>
    <x v="3"/>
    <m/>
    <m/>
    <m/>
    <m/>
    <m/>
    <m/>
    <m/>
    <m/>
    <m/>
    <m/>
    <m/>
    <m/>
    <x v="0"/>
    <x v="0"/>
    <x v="0"/>
    <m/>
    <m/>
    <x v="2"/>
    <m/>
    <m/>
    <m/>
    <m/>
    <m/>
    <m/>
    <x v="0"/>
    <x v="0"/>
    <x v="0"/>
    <x v="1"/>
    <x v="1"/>
    <x v="3"/>
    <x v="0"/>
    <x v="0"/>
    <x v="0"/>
    <x v="0"/>
    <x v="2"/>
    <x v="0"/>
    <x v="3"/>
    <x v="0"/>
    <x v="2"/>
    <x v="0"/>
    <x v="2"/>
    <x v="2"/>
    <x v="1"/>
    <x v="2"/>
    <x v="4"/>
    <x v="3"/>
    <x v="3"/>
    <x v="2"/>
    <x v="2"/>
    <x v="1"/>
  </r>
  <r>
    <m/>
    <x v="4"/>
    <x v="1"/>
    <x v="1"/>
    <m/>
    <m/>
    <m/>
    <x v="2"/>
    <m/>
    <x v="3"/>
    <m/>
    <m/>
    <m/>
    <m/>
    <m/>
    <m/>
    <m/>
    <m/>
    <m/>
    <m/>
    <m/>
    <m/>
    <x v="0"/>
    <x v="0"/>
    <x v="1"/>
    <m/>
    <m/>
    <x v="0"/>
    <m/>
    <m/>
    <m/>
    <m/>
    <m/>
    <m/>
    <x v="1"/>
    <x v="5"/>
    <x v="2"/>
    <x v="2"/>
    <x v="4"/>
    <x v="3"/>
    <x v="3"/>
    <x v="2"/>
    <x v="1"/>
    <x v="3"/>
    <x v="2"/>
    <x v="1"/>
    <x v="0"/>
    <x v="1"/>
    <x v="0"/>
    <x v="2"/>
    <x v="4"/>
    <x v="2"/>
    <x v="2"/>
    <x v="3"/>
    <x v="4"/>
    <x v="3"/>
    <x v="2"/>
    <x v="1"/>
    <x v="1"/>
    <x v="2"/>
  </r>
  <r>
    <m/>
    <x v="4"/>
    <x v="1"/>
    <x v="1"/>
    <m/>
    <m/>
    <m/>
    <x v="2"/>
    <m/>
    <x v="2"/>
    <m/>
    <m/>
    <m/>
    <m/>
    <m/>
    <m/>
    <m/>
    <m/>
    <m/>
    <m/>
    <m/>
    <m/>
    <x v="0"/>
    <x v="0"/>
    <x v="1"/>
    <m/>
    <m/>
    <x v="0"/>
    <m/>
    <m/>
    <m/>
    <m/>
    <m/>
    <m/>
    <x v="1"/>
    <x v="4"/>
    <x v="2"/>
    <x v="2"/>
    <x v="4"/>
    <x v="3"/>
    <x v="3"/>
    <x v="2"/>
    <x v="1"/>
    <x v="3"/>
    <x v="2"/>
    <x v="0"/>
    <x v="0"/>
    <x v="4"/>
    <x v="5"/>
    <x v="3"/>
    <x v="0"/>
    <x v="4"/>
    <x v="2"/>
    <x v="3"/>
    <x v="0"/>
    <x v="3"/>
    <x v="3"/>
    <x v="2"/>
    <x v="1"/>
    <x v="2"/>
  </r>
  <r>
    <m/>
    <x v="4"/>
    <x v="1"/>
    <x v="1"/>
    <m/>
    <m/>
    <m/>
    <x v="0"/>
    <m/>
    <x v="2"/>
    <m/>
    <m/>
    <m/>
    <m/>
    <m/>
    <m/>
    <m/>
    <m/>
    <m/>
    <m/>
    <m/>
    <m/>
    <x v="2"/>
    <x v="4"/>
    <x v="1"/>
    <m/>
    <m/>
    <x v="2"/>
    <m/>
    <m/>
    <m/>
    <m/>
    <m/>
    <m/>
    <x v="1"/>
    <x v="3"/>
    <x v="5"/>
    <x v="4"/>
    <x v="4"/>
    <x v="2"/>
    <x v="5"/>
    <x v="2"/>
    <x v="1"/>
    <x v="1"/>
    <x v="0"/>
    <x v="0"/>
    <x v="0"/>
    <x v="1"/>
    <x v="2"/>
    <x v="2"/>
    <x v="0"/>
    <x v="1"/>
    <x v="2"/>
    <x v="0"/>
    <x v="4"/>
    <x v="5"/>
    <x v="0"/>
    <x v="2"/>
    <x v="1"/>
    <x v="1"/>
  </r>
  <r>
    <m/>
    <x v="4"/>
    <x v="1"/>
    <x v="0"/>
    <m/>
    <m/>
    <m/>
    <x v="2"/>
    <m/>
    <x v="4"/>
    <m/>
    <m/>
    <m/>
    <m/>
    <m/>
    <m/>
    <m/>
    <m/>
    <m/>
    <m/>
    <m/>
    <m/>
    <x v="0"/>
    <x v="0"/>
    <x v="0"/>
    <m/>
    <m/>
    <x v="2"/>
    <m/>
    <m/>
    <m/>
    <m/>
    <m/>
    <m/>
    <x v="1"/>
    <x v="3"/>
    <x v="2"/>
    <x v="2"/>
    <x v="4"/>
    <x v="2"/>
    <x v="0"/>
    <x v="0"/>
    <x v="0"/>
    <x v="3"/>
    <x v="2"/>
    <x v="0"/>
    <x v="2"/>
    <x v="0"/>
    <x v="0"/>
    <x v="0"/>
    <x v="3"/>
    <x v="2"/>
    <x v="2"/>
    <x v="3"/>
    <x v="3"/>
    <x v="0"/>
    <x v="2"/>
    <x v="1"/>
    <x v="1"/>
    <x v="3"/>
  </r>
  <r>
    <m/>
    <x v="4"/>
    <x v="1"/>
    <x v="0"/>
    <m/>
    <m/>
    <m/>
    <x v="2"/>
    <m/>
    <x v="0"/>
    <m/>
    <m/>
    <m/>
    <m/>
    <m/>
    <m/>
    <m/>
    <m/>
    <m/>
    <m/>
    <m/>
    <m/>
    <x v="0"/>
    <x v="0"/>
    <x v="3"/>
    <m/>
    <m/>
    <x v="4"/>
    <m/>
    <m/>
    <m/>
    <m/>
    <m/>
    <m/>
    <x v="4"/>
    <x v="4"/>
    <x v="2"/>
    <x v="3"/>
    <x v="4"/>
    <x v="3"/>
    <x v="4"/>
    <x v="2"/>
    <x v="1"/>
    <x v="0"/>
    <x v="2"/>
    <x v="1"/>
    <x v="0"/>
    <x v="0"/>
    <x v="2"/>
    <x v="2"/>
    <x v="4"/>
    <x v="4"/>
    <x v="5"/>
    <x v="2"/>
    <x v="3"/>
    <x v="3"/>
    <x v="1"/>
    <x v="2"/>
    <x v="3"/>
    <x v="3"/>
  </r>
  <r>
    <m/>
    <x v="4"/>
    <x v="0"/>
    <x v="1"/>
    <m/>
    <m/>
    <m/>
    <x v="0"/>
    <m/>
    <x v="2"/>
    <m/>
    <m/>
    <m/>
    <m/>
    <m/>
    <m/>
    <m/>
    <m/>
    <m/>
    <m/>
    <m/>
    <m/>
    <x v="2"/>
    <x v="1"/>
    <x v="0"/>
    <m/>
    <m/>
    <x v="2"/>
    <m/>
    <m/>
    <m/>
    <m/>
    <m/>
    <m/>
    <x v="0"/>
    <x v="2"/>
    <x v="0"/>
    <x v="1"/>
    <x v="1"/>
    <x v="2"/>
    <x v="0"/>
    <x v="0"/>
    <x v="0"/>
    <x v="2"/>
    <x v="1"/>
    <x v="2"/>
    <x v="2"/>
    <x v="0"/>
    <x v="1"/>
    <x v="0"/>
    <x v="1"/>
    <x v="1"/>
    <x v="1"/>
    <x v="1"/>
    <x v="2"/>
    <x v="5"/>
    <x v="2"/>
    <x v="2"/>
    <x v="2"/>
    <x v="1"/>
  </r>
  <r>
    <m/>
    <x v="4"/>
    <x v="0"/>
    <x v="2"/>
    <m/>
    <m/>
    <m/>
    <x v="0"/>
    <m/>
    <x v="2"/>
    <m/>
    <m/>
    <m/>
    <m/>
    <m/>
    <m/>
    <m/>
    <m/>
    <m/>
    <m/>
    <m/>
    <m/>
    <x v="2"/>
    <x v="0"/>
    <x v="0"/>
    <m/>
    <m/>
    <x v="2"/>
    <m/>
    <m/>
    <m/>
    <m/>
    <m/>
    <m/>
    <x v="0"/>
    <x v="2"/>
    <x v="0"/>
    <x v="1"/>
    <x v="1"/>
    <x v="2"/>
    <x v="0"/>
    <x v="0"/>
    <x v="0"/>
    <x v="1"/>
    <x v="0"/>
    <x v="2"/>
    <x v="2"/>
    <x v="0"/>
    <x v="1"/>
    <x v="0"/>
    <x v="1"/>
    <x v="1"/>
    <x v="1"/>
    <x v="1"/>
    <x v="2"/>
    <x v="4"/>
    <x v="1"/>
    <x v="2"/>
    <x v="2"/>
    <x v="2"/>
  </r>
  <r>
    <m/>
    <x v="4"/>
    <x v="1"/>
    <x v="1"/>
    <m/>
    <m/>
    <m/>
    <x v="3"/>
    <m/>
    <x v="3"/>
    <m/>
    <m/>
    <m/>
    <m/>
    <m/>
    <m/>
    <m/>
    <m/>
    <m/>
    <m/>
    <m/>
    <m/>
    <x v="4"/>
    <x v="1"/>
    <x v="2"/>
    <m/>
    <m/>
    <x v="0"/>
    <m/>
    <m/>
    <m/>
    <m/>
    <m/>
    <m/>
    <x v="3"/>
    <x v="3"/>
    <x v="2"/>
    <x v="2"/>
    <x v="3"/>
    <x v="4"/>
    <x v="2"/>
    <x v="0"/>
    <x v="1"/>
    <x v="3"/>
    <x v="2"/>
    <x v="4"/>
    <x v="0"/>
    <x v="4"/>
    <x v="0"/>
    <x v="0"/>
    <x v="3"/>
    <x v="2"/>
    <x v="2"/>
    <x v="0"/>
    <x v="3"/>
    <x v="0"/>
    <x v="1"/>
    <x v="1"/>
    <x v="3"/>
    <x v="2"/>
  </r>
  <r>
    <m/>
    <x v="4"/>
    <x v="0"/>
    <x v="1"/>
    <m/>
    <m/>
    <m/>
    <x v="0"/>
    <m/>
    <x v="2"/>
    <m/>
    <m/>
    <m/>
    <m/>
    <m/>
    <m/>
    <m/>
    <m/>
    <m/>
    <m/>
    <m/>
    <m/>
    <x v="0"/>
    <x v="0"/>
    <x v="0"/>
    <m/>
    <m/>
    <x v="2"/>
    <m/>
    <m/>
    <m/>
    <m/>
    <m/>
    <m/>
    <x v="0"/>
    <x v="2"/>
    <x v="0"/>
    <x v="1"/>
    <x v="1"/>
    <x v="2"/>
    <x v="0"/>
    <x v="0"/>
    <x v="0"/>
    <x v="1"/>
    <x v="0"/>
    <x v="2"/>
    <x v="2"/>
    <x v="0"/>
    <x v="1"/>
    <x v="4"/>
    <x v="4"/>
    <x v="1"/>
    <x v="0"/>
    <x v="2"/>
    <x v="1"/>
    <x v="0"/>
    <x v="1"/>
    <x v="1"/>
    <x v="1"/>
    <x v="2"/>
  </r>
  <r>
    <m/>
    <x v="4"/>
    <x v="0"/>
    <x v="0"/>
    <m/>
    <m/>
    <m/>
    <x v="0"/>
    <m/>
    <x v="2"/>
    <m/>
    <m/>
    <m/>
    <m/>
    <m/>
    <m/>
    <m/>
    <m/>
    <m/>
    <m/>
    <m/>
    <m/>
    <x v="0"/>
    <x v="0"/>
    <x v="0"/>
    <m/>
    <m/>
    <x v="2"/>
    <m/>
    <m/>
    <m/>
    <m/>
    <m/>
    <m/>
    <x v="0"/>
    <x v="2"/>
    <x v="0"/>
    <x v="1"/>
    <x v="1"/>
    <x v="3"/>
    <x v="0"/>
    <x v="0"/>
    <x v="0"/>
    <x v="1"/>
    <x v="0"/>
    <x v="2"/>
    <x v="2"/>
    <x v="0"/>
    <x v="1"/>
    <x v="5"/>
    <x v="1"/>
    <x v="1"/>
    <x v="0"/>
    <x v="2"/>
    <x v="2"/>
    <x v="3"/>
    <x v="1"/>
    <x v="2"/>
    <x v="2"/>
    <x v="2"/>
  </r>
  <r>
    <m/>
    <x v="4"/>
    <x v="0"/>
    <x v="1"/>
    <m/>
    <m/>
    <m/>
    <x v="2"/>
    <m/>
    <x v="3"/>
    <m/>
    <m/>
    <m/>
    <m/>
    <m/>
    <m/>
    <m/>
    <m/>
    <m/>
    <m/>
    <m/>
    <m/>
    <x v="0"/>
    <x v="0"/>
    <x v="1"/>
    <m/>
    <m/>
    <x v="0"/>
    <m/>
    <m/>
    <m/>
    <m/>
    <m/>
    <m/>
    <x v="4"/>
    <x v="4"/>
    <x v="2"/>
    <x v="2"/>
    <x v="4"/>
    <x v="3"/>
    <x v="3"/>
    <x v="2"/>
    <x v="1"/>
    <x v="3"/>
    <x v="2"/>
    <x v="1"/>
    <x v="0"/>
    <x v="1"/>
    <x v="2"/>
    <x v="2"/>
    <x v="3"/>
    <x v="2"/>
    <x v="2"/>
    <x v="3"/>
    <x v="3"/>
    <x v="3"/>
    <x v="1"/>
    <x v="2"/>
    <x v="1"/>
    <x v="1"/>
  </r>
  <r>
    <m/>
    <x v="4"/>
    <x v="1"/>
    <x v="1"/>
    <m/>
    <m/>
    <m/>
    <x v="2"/>
    <m/>
    <x v="3"/>
    <m/>
    <m/>
    <m/>
    <m/>
    <m/>
    <m/>
    <m/>
    <m/>
    <m/>
    <m/>
    <m/>
    <m/>
    <x v="0"/>
    <x v="0"/>
    <x v="1"/>
    <m/>
    <m/>
    <x v="0"/>
    <m/>
    <m/>
    <m/>
    <m/>
    <m/>
    <m/>
    <x v="1"/>
    <x v="4"/>
    <x v="0"/>
    <x v="1"/>
    <x v="4"/>
    <x v="3"/>
    <x v="3"/>
    <x v="2"/>
    <x v="1"/>
    <x v="3"/>
    <x v="2"/>
    <x v="1"/>
    <x v="0"/>
    <x v="1"/>
    <x v="0"/>
    <x v="2"/>
    <x v="3"/>
    <x v="2"/>
    <x v="2"/>
    <x v="3"/>
    <x v="4"/>
    <x v="3"/>
    <x v="3"/>
    <x v="2"/>
    <x v="3"/>
    <x v="3"/>
  </r>
  <r>
    <m/>
    <x v="4"/>
    <x v="1"/>
    <x v="1"/>
    <m/>
    <m/>
    <m/>
    <x v="2"/>
    <m/>
    <x v="3"/>
    <m/>
    <m/>
    <m/>
    <m/>
    <m/>
    <m/>
    <m/>
    <m/>
    <m/>
    <m/>
    <m/>
    <m/>
    <x v="0"/>
    <x v="0"/>
    <x v="1"/>
    <m/>
    <m/>
    <x v="2"/>
    <m/>
    <m/>
    <m/>
    <m/>
    <m/>
    <m/>
    <x v="0"/>
    <x v="2"/>
    <x v="0"/>
    <x v="1"/>
    <x v="1"/>
    <x v="2"/>
    <x v="0"/>
    <x v="2"/>
    <x v="0"/>
    <x v="1"/>
    <x v="2"/>
    <x v="1"/>
    <x v="0"/>
    <x v="1"/>
    <x v="2"/>
    <x v="5"/>
    <x v="3"/>
    <x v="1"/>
    <x v="1"/>
    <x v="3"/>
    <x v="3"/>
    <x v="3"/>
    <x v="3"/>
    <x v="2"/>
    <x v="1"/>
    <x v="3"/>
  </r>
  <r>
    <m/>
    <x v="4"/>
    <x v="0"/>
    <x v="1"/>
    <m/>
    <m/>
    <m/>
    <x v="2"/>
    <m/>
    <x v="3"/>
    <m/>
    <m/>
    <m/>
    <m/>
    <m/>
    <m/>
    <m/>
    <m/>
    <m/>
    <m/>
    <m/>
    <m/>
    <x v="0"/>
    <x v="0"/>
    <x v="1"/>
    <m/>
    <m/>
    <x v="3"/>
    <m/>
    <m/>
    <m/>
    <m/>
    <m/>
    <m/>
    <x v="0"/>
    <x v="0"/>
    <x v="2"/>
    <x v="2"/>
    <x v="1"/>
    <x v="3"/>
    <x v="0"/>
    <x v="0"/>
    <x v="0"/>
    <x v="1"/>
    <x v="2"/>
    <x v="3"/>
    <x v="0"/>
    <x v="0"/>
    <x v="1"/>
    <x v="3"/>
    <x v="5"/>
    <x v="5"/>
    <x v="5"/>
    <x v="5"/>
    <x v="4"/>
    <x v="5"/>
    <x v="3"/>
    <x v="1"/>
    <x v="1"/>
    <x v="2"/>
  </r>
  <r>
    <m/>
    <x v="4"/>
    <x v="0"/>
    <x v="0"/>
    <m/>
    <m/>
    <m/>
    <x v="0"/>
    <m/>
    <x v="3"/>
    <m/>
    <m/>
    <m/>
    <m/>
    <m/>
    <m/>
    <m/>
    <m/>
    <m/>
    <m/>
    <m/>
    <m/>
    <x v="1"/>
    <x v="0"/>
    <x v="1"/>
    <m/>
    <m/>
    <x v="2"/>
    <m/>
    <m/>
    <m/>
    <m/>
    <m/>
    <m/>
    <x v="1"/>
    <x v="4"/>
    <x v="0"/>
    <x v="1"/>
    <x v="4"/>
    <x v="3"/>
    <x v="0"/>
    <x v="0"/>
    <x v="0"/>
    <x v="1"/>
    <x v="0"/>
    <x v="2"/>
    <x v="0"/>
    <x v="0"/>
    <x v="2"/>
    <x v="0"/>
    <x v="2"/>
    <x v="2"/>
    <x v="4"/>
    <x v="4"/>
    <x v="3"/>
    <x v="5"/>
    <x v="1"/>
    <x v="0"/>
    <x v="3"/>
    <x v="3"/>
  </r>
  <r>
    <m/>
    <x v="4"/>
    <x v="1"/>
    <x v="0"/>
    <m/>
    <m/>
    <m/>
    <x v="2"/>
    <m/>
    <x v="3"/>
    <m/>
    <m/>
    <m/>
    <m/>
    <m/>
    <m/>
    <m/>
    <m/>
    <m/>
    <m/>
    <m/>
    <m/>
    <x v="1"/>
    <x v="4"/>
    <x v="1"/>
    <m/>
    <m/>
    <x v="0"/>
    <m/>
    <m/>
    <m/>
    <m/>
    <m/>
    <m/>
    <x v="1"/>
    <x v="4"/>
    <x v="2"/>
    <x v="2"/>
    <x v="4"/>
    <x v="3"/>
    <x v="3"/>
    <x v="2"/>
    <x v="1"/>
    <x v="0"/>
    <x v="2"/>
    <x v="1"/>
    <x v="3"/>
    <x v="1"/>
    <x v="0"/>
    <x v="2"/>
    <x v="3"/>
    <x v="2"/>
    <x v="2"/>
    <x v="3"/>
    <x v="3"/>
    <x v="3"/>
    <x v="3"/>
    <x v="2"/>
    <x v="3"/>
    <x v="1"/>
  </r>
  <r>
    <m/>
    <x v="4"/>
    <x v="0"/>
    <x v="1"/>
    <m/>
    <m/>
    <m/>
    <x v="0"/>
    <m/>
    <x v="2"/>
    <m/>
    <m/>
    <m/>
    <m/>
    <m/>
    <m/>
    <m/>
    <m/>
    <m/>
    <m/>
    <m/>
    <m/>
    <x v="0"/>
    <x v="0"/>
    <x v="1"/>
    <m/>
    <m/>
    <x v="2"/>
    <m/>
    <m/>
    <m/>
    <m/>
    <m/>
    <m/>
    <x v="4"/>
    <x v="0"/>
    <x v="2"/>
    <x v="2"/>
    <x v="3"/>
    <x v="2"/>
    <x v="4"/>
    <x v="0"/>
    <x v="0"/>
    <x v="0"/>
    <x v="2"/>
    <x v="1"/>
    <x v="3"/>
    <x v="0"/>
    <x v="1"/>
    <x v="2"/>
    <x v="4"/>
    <x v="2"/>
    <x v="5"/>
    <x v="2"/>
    <x v="0"/>
    <x v="3"/>
    <x v="0"/>
    <x v="2"/>
    <x v="0"/>
    <x v="2"/>
  </r>
  <r>
    <m/>
    <x v="4"/>
    <x v="0"/>
    <x v="0"/>
    <m/>
    <m/>
    <m/>
    <x v="0"/>
    <m/>
    <x v="2"/>
    <m/>
    <m/>
    <m/>
    <m/>
    <m/>
    <m/>
    <m/>
    <m/>
    <m/>
    <m/>
    <m/>
    <m/>
    <x v="2"/>
    <x v="0"/>
    <x v="2"/>
    <m/>
    <m/>
    <x v="2"/>
    <m/>
    <m/>
    <m/>
    <m/>
    <m/>
    <m/>
    <x v="1"/>
    <x v="5"/>
    <x v="0"/>
    <x v="1"/>
    <x v="1"/>
    <x v="2"/>
    <x v="0"/>
    <x v="0"/>
    <x v="0"/>
    <x v="1"/>
    <x v="2"/>
    <x v="2"/>
    <x v="2"/>
    <x v="0"/>
    <x v="3"/>
    <x v="0"/>
    <x v="2"/>
    <x v="2"/>
    <x v="2"/>
    <x v="1"/>
    <x v="5"/>
    <x v="3"/>
    <x v="1"/>
    <x v="1"/>
    <x v="3"/>
    <x v="3"/>
  </r>
  <r>
    <m/>
    <x v="4"/>
    <x v="0"/>
    <x v="0"/>
    <m/>
    <m/>
    <m/>
    <x v="2"/>
    <m/>
    <x v="3"/>
    <m/>
    <m/>
    <m/>
    <m/>
    <m/>
    <m/>
    <m/>
    <m/>
    <m/>
    <m/>
    <m/>
    <m/>
    <x v="0"/>
    <x v="0"/>
    <x v="1"/>
    <m/>
    <m/>
    <x v="0"/>
    <m/>
    <m/>
    <m/>
    <m/>
    <m/>
    <m/>
    <x v="1"/>
    <x v="4"/>
    <x v="2"/>
    <x v="2"/>
    <x v="4"/>
    <x v="3"/>
    <x v="3"/>
    <x v="2"/>
    <x v="0"/>
    <x v="0"/>
    <x v="2"/>
    <x v="1"/>
    <x v="2"/>
    <x v="0"/>
    <x v="0"/>
    <x v="2"/>
    <x v="3"/>
    <x v="2"/>
    <x v="2"/>
    <x v="3"/>
    <x v="4"/>
    <x v="0"/>
    <x v="1"/>
    <x v="2"/>
    <x v="1"/>
    <x v="2"/>
  </r>
  <r>
    <m/>
    <x v="4"/>
    <x v="0"/>
    <x v="1"/>
    <m/>
    <m/>
    <m/>
    <x v="0"/>
    <m/>
    <x v="2"/>
    <m/>
    <m/>
    <m/>
    <m/>
    <m/>
    <m/>
    <m/>
    <m/>
    <m/>
    <m/>
    <m/>
    <m/>
    <x v="4"/>
    <x v="0"/>
    <x v="1"/>
    <m/>
    <m/>
    <x v="2"/>
    <m/>
    <m/>
    <m/>
    <m/>
    <m/>
    <m/>
    <x v="3"/>
    <x v="3"/>
    <x v="5"/>
    <x v="2"/>
    <x v="4"/>
    <x v="3"/>
    <x v="3"/>
    <x v="2"/>
    <x v="3"/>
    <x v="1"/>
    <x v="3"/>
    <x v="4"/>
    <x v="5"/>
    <x v="0"/>
    <x v="0"/>
    <x v="0"/>
    <x v="3"/>
    <x v="1"/>
    <x v="4"/>
    <x v="4"/>
    <x v="3"/>
    <x v="3"/>
    <x v="3"/>
    <x v="1"/>
    <x v="1"/>
    <x v="1"/>
  </r>
  <r>
    <m/>
    <x v="4"/>
    <x v="0"/>
    <x v="1"/>
    <m/>
    <m/>
    <m/>
    <x v="0"/>
    <m/>
    <x v="0"/>
    <m/>
    <m/>
    <m/>
    <m/>
    <m/>
    <m/>
    <m/>
    <m/>
    <m/>
    <m/>
    <m/>
    <m/>
    <x v="0"/>
    <x v="0"/>
    <x v="1"/>
    <m/>
    <m/>
    <x v="2"/>
    <m/>
    <m/>
    <m/>
    <m/>
    <m/>
    <m/>
    <x v="0"/>
    <x v="2"/>
    <x v="0"/>
    <x v="1"/>
    <x v="1"/>
    <x v="2"/>
    <x v="3"/>
    <x v="0"/>
    <x v="0"/>
    <x v="0"/>
    <x v="0"/>
    <x v="2"/>
    <x v="2"/>
    <x v="0"/>
    <x v="1"/>
    <x v="0"/>
    <x v="1"/>
    <x v="1"/>
    <x v="1"/>
    <x v="2"/>
    <x v="2"/>
    <x v="2"/>
    <x v="1"/>
    <x v="1"/>
    <x v="3"/>
    <x v="1"/>
  </r>
  <r>
    <m/>
    <x v="4"/>
    <x v="0"/>
    <x v="0"/>
    <m/>
    <m/>
    <m/>
    <x v="0"/>
    <m/>
    <x v="0"/>
    <m/>
    <m/>
    <m/>
    <m/>
    <m/>
    <m/>
    <m/>
    <m/>
    <m/>
    <m/>
    <m/>
    <m/>
    <x v="0"/>
    <x v="0"/>
    <x v="0"/>
    <m/>
    <m/>
    <x v="2"/>
    <m/>
    <m/>
    <m/>
    <m/>
    <m/>
    <m/>
    <x v="0"/>
    <x v="0"/>
    <x v="0"/>
    <x v="1"/>
    <x v="4"/>
    <x v="2"/>
    <x v="0"/>
    <x v="0"/>
    <x v="0"/>
    <x v="1"/>
    <x v="0"/>
    <x v="3"/>
    <x v="3"/>
    <x v="0"/>
    <x v="1"/>
    <x v="0"/>
    <x v="4"/>
    <x v="1"/>
    <x v="1"/>
    <x v="1"/>
    <x v="0"/>
    <x v="2"/>
    <x v="3"/>
    <x v="2"/>
    <x v="1"/>
    <x v="2"/>
  </r>
  <r>
    <m/>
    <x v="4"/>
    <x v="0"/>
    <x v="0"/>
    <m/>
    <m/>
    <m/>
    <x v="5"/>
    <m/>
    <x v="1"/>
    <m/>
    <m/>
    <m/>
    <m/>
    <m/>
    <m/>
    <m/>
    <m/>
    <m/>
    <m/>
    <m/>
    <m/>
    <x v="3"/>
    <x v="6"/>
    <x v="3"/>
    <m/>
    <m/>
    <x v="5"/>
    <m/>
    <m/>
    <m/>
    <m/>
    <m/>
    <m/>
    <x v="5"/>
    <x v="3"/>
    <x v="1"/>
    <x v="3"/>
    <x v="5"/>
    <x v="5"/>
    <x v="1"/>
    <x v="5"/>
    <x v="2"/>
    <x v="2"/>
    <x v="3"/>
    <x v="4"/>
    <x v="1"/>
    <x v="2"/>
    <x v="3"/>
    <x v="1"/>
    <x v="5"/>
    <x v="5"/>
    <x v="5"/>
    <x v="5"/>
    <x v="1"/>
    <x v="0"/>
    <x v="1"/>
    <x v="2"/>
    <x v="3"/>
    <x v="1"/>
  </r>
  <r>
    <m/>
    <x v="4"/>
    <x v="0"/>
    <x v="0"/>
    <m/>
    <m/>
    <m/>
    <x v="2"/>
    <m/>
    <x v="0"/>
    <m/>
    <m/>
    <m/>
    <m/>
    <m/>
    <m/>
    <m/>
    <m/>
    <m/>
    <m/>
    <m/>
    <m/>
    <x v="0"/>
    <x v="0"/>
    <x v="0"/>
    <m/>
    <m/>
    <x v="2"/>
    <m/>
    <m/>
    <m/>
    <m/>
    <m/>
    <m/>
    <x v="0"/>
    <x v="2"/>
    <x v="2"/>
    <x v="1"/>
    <x v="4"/>
    <x v="2"/>
    <x v="0"/>
    <x v="0"/>
    <x v="0"/>
    <x v="1"/>
    <x v="0"/>
    <x v="2"/>
    <x v="2"/>
    <x v="0"/>
    <x v="1"/>
    <x v="0"/>
    <x v="2"/>
    <x v="3"/>
    <x v="4"/>
    <x v="2"/>
    <x v="2"/>
    <x v="4"/>
    <x v="2"/>
    <x v="0"/>
    <x v="2"/>
    <x v="3"/>
  </r>
  <r>
    <m/>
    <x v="4"/>
    <x v="0"/>
    <x v="3"/>
    <m/>
    <m/>
    <m/>
    <x v="2"/>
    <m/>
    <x v="3"/>
    <m/>
    <m/>
    <m/>
    <m/>
    <m/>
    <m/>
    <m/>
    <m/>
    <m/>
    <m/>
    <m/>
    <m/>
    <x v="0"/>
    <x v="0"/>
    <x v="1"/>
    <m/>
    <m/>
    <x v="4"/>
    <m/>
    <m/>
    <m/>
    <m/>
    <m/>
    <m/>
    <x v="1"/>
    <x v="0"/>
    <x v="4"/>
    <x v="2"/>
    <x v="4"/>
    <x v="3"/>
    <x v="3"/>
    <x v="5"/>
    <x v="1"/>
    <x v="1"/>
    <x v="2"/>
    <x v="4"/>
    <x v="3"/>
    <x v="1"/>
    <x v="0"/>
    <x v="2"/>
    <x v="4"/>
    <x v="3"/>
    <x v="0"/>
    <x v="3"/>
    <x v="0"/>
    <x v="2"/>
    <x v="0"/>
    <x v="0"/>
    <x v="0"/>
    <x v="0"/>
  </r>
  <r>
    <m/>
    <x v="4"/>
    <x v="1"/>
    <x v="1"/>
    <m/>
    <m/>
    <m/>
    <x v="0"/>
    <m/>
    <x v="2"/>
    <m/>
    <m/>
    <m/>
    <m/>
    <m/>
    <m/>
    <m/>
    <m/>
    <m/>
    <m/>
    <m/>
    <m/>
    <x v="0"/>
    <x v="0"/>
    <x v="0"/>
    <m/>
    <m/>
    <x v="2"/>
    <m/>
    <m/>
    <m/>
    <m/>
    <m/>
    <m/>
    <x v="0"/>
    <x v="2"/>
    <x v="0"/>
    <x v="1"/>
    <x v="1"/>
    <x v="2"/>
    <x v="0"/>
    <x v="0"/>
    <x v="0"/>
    <x v="1"/>
    <x v="0"/>
    <x v="2"/>
    <x v="2"/>
    <x v="0"/>
    <x v="1"/>
    <x v="0"/>
    <x v="3"/>
    <x v="1"/>
    <x v="1"/>
    <x v="1"/>
    <x v="2"/>
    <x v="2"/>
    <x v="2"/>
    <x v="1"/>
    <x v="1"/>
    <x v="2"/>
  </r>
  <r>
    <m/>
    <x v="4"/>
    <x v="0"/>
    <x v="1"/>
    <m/>
    <m/>
    <m/>
    <x v="0"/>
    <m/>
    <x v="3"/>
    <m/>
    <m/>
    <m/>
    <m/>
    <m/>
    <m/>
    <m/>
    <m/>
    <m/>
    <m/>
    <m/>
    <m/>
    <x v="0"/>
    <x v="0"/>
    <x v="0"/>
    <m/>
    <m/>
    <x v="2"/>
    <m/>
    <m/>
    <m/>
    <m/>
    <m/>
    <m/>
    <x v="0"/>
    <x v="2"/>
    <x v="0"/>
    <x v="1"/>
    <x v="1"/>
    <x v="3"/>
    <x v="0"/>
    <x v="0"/>
    <x v="0"/>
    <x v="0"/>
    <x v="0"/>
    <x v="2"/>
    <x v="3"/>
    <x v="0"/>
    <x v="0"/>
    <x v="0"/>
    <x v="3"/>
    <x v="1"/>
    <x v="1"/>
    <x v="2"/>
    <x v="4"/>
    <x v="0"/>
    <x v="1"/>
    <x v="2"/>
    <x v="2"/>
    <x v="2"/>
  </r>
  <r>
    <m/>
    <x v="4"/>
    <x v="0"/>
    <x v="1"/>
    <m/>
    <m/>
    <m/>
    <x v="0"/>
    <m/>
    <x v="0"/>
    <m/>
    <m/>
    <m/>
    <m/>
    <m/>
    <m/>
    <m/>
    <m/>
    <m/>
    <m/>
    <m/>
    <m/>
    <x v="0"/>
    <x v="0"/>
    <x v="0"/>
    <m/>
    <m/>
    <x v="2"/>
    <m/>
    <m/>
    <m/>
    <m/>
    <m/>
    <m/>
    <x v="0"/>
    <x v="2"/>
    <x v="0"/>
    <x v="1"/>
    <x v="1"/>
    <x v="2"/>
    <x v="0"/>
    <x v="0"/>
    <x v="0"/>
    <x v="1"/>
    <x v="0"/>
    <x v="2"/>
    <x v="2"/>
    <x v="0"/>
    <x v="1"/>
    <x v="0"/>
    <x v="3"/>
    <x v="1"/>
    <x v="2"/>
    <x v="1"/>
    <x v="4"/>
    <x v="0"/>
    <x v="1"/>
    <x v="2"/>
    <x v="1"/>
    <x v="2"/>
  </r>
  <r>
    <m/>
    <x v="4"/>
    <x v="0"/>
    <x v="1"/>
    <m/>
    <m/>
    <m/>
    <x v="0"/>
    <m/>
    <x v="0"/>
    <m/>
    <m/>
    <m/>
    <m/>
    <m/>
    <m/>
    <m/>
    <m/>
    <m/>
    <m/>
    <m/>
    <m/>
    <x v="0"/>
    <x v="0"/>
    <x v="0"/>
    <m/>
    <m/>
    <x v="2"/>
    <m/>
    <m/>
    <m/>
    <m/>
    <m/>
    <m/>
    <x v="0"/>
    <x v="2"/>
    <x v="0"/>
    <x v="1"/>
    <x v="1"/>
    <x v="2"/>
    <x v="0"/>
    <x v="0"/>
    <x v="0"/>
    <x v="1"/>
    <x v="0"/>
    <x v="2"/>
    <x v="2"/>
    <x v="0"/>
    <x v="0"/>
    <x v="0"/>
    <x v="1"/>
    <x v="1"/>
    <x v="2"/>
    <x v="1"/>
    <x v="4"/>
    <x v="5"/>
    <x v="1"/>
    <x v="1"/>
    <x v="1"/>
    <x v="1"/>
  </r>
  <r>
    <m/>
    <x v="4"/>
    <x v="0"/>
    <x v="1"/>
    <m/>
    <m/>
    <m/>
    <x v="0"/>
    <m/>
    <x v="0"/>
    <m/>
    <m/>
    <m/>
    <m/>
    <m/>
    <m/>
    <m/>
    <m/>
    <m/>
    <m/>
    <m/>
    <m/>
    <x v="0"/>
    <x v="0"/>
    <x v="0"/>
    <m/>
    <m/>
    <x v="2"/>
    <m/>
    <m/>
    <m/>
    <m/>
    <m/>
    <m/>
    <x v="0"/>
    <x v="2"/>
    <x v="0"/>
    <x v="1"/>
    <x v="1"/>
    <x v="2"/>
    <x v="0"/>
    <x v="0"/>
    <x v="0"/>
    <x v="1"/>
    <x v="0"/>
    <x v="2"/>
    <x v="2"/>
    <x v="0"/>
    <x v="1"/>
    <x v="0"/>
    <x v="1"/>
    <x v="1"/>
    <x v="2"/>
    <x v="1"/>
    <x v="2"/>
    <x v="5"/>
    <x v="1"/>
    <x v="2"/>
    <x v="1"/>
    <x v="1"/>
  </r>
  <r>
    <m/>
    <x v="4"/>
    <x v="0"/>
    <x v="0"/>
    <m/>
    <m/>
    <m/>
    <x v="0"/>
    <m/>
    <x v="3"/>
    <m/>
    <m/>
    <m/>
    <m/>
    <m/>
    <m/>
    <m/>
    <m/>
    <m/>
    <m/>
    <m/>
    <m/>
    <x v="4"/>
    <x v="1"/>
    <x v="0"/>
    <m/>
    <m/>
    <x v="2"/>
    <m/>
    <m/>
    <m/>
    <m/>
    <m/>
    <m/>
    <x v="0"/>
    <x v="4"/>
    <x v="0"/>
    <x v="1"/>
    <x v="1"/>
    <x v="2"/>
    <x v="0"/>
    <x v="0"/>
    <x v="0"/>
    <x v="1"/>
    <x v="0"/>
    <x v="2"/>
    <x v="2"/>
    <x v="0"/>
    <x v="0"/>
    <x v="0"/>
    <x v="1"/>
    <x v="1"/>
    <x v="3"/>
    <x v="1"/>
    <x v="2"/>
    <x v="0"/>
    <x v="1"/>
    <x v="1"/>
    <x v="1"/>
    <x v="3"/>
  </r>
  <r>
    <m/>
    <x v="4"/>
    <x v="0"/>
    <x v="1"/>
    <m/>
    <m/>
    <m/>
    <x v="0"/>
    <m/>
    <x v="2"/>
    <m/>
    <m/>
    <m/>
    <m/>
    <m/>
    <m/>
    <m/>
    <m/>
    <m/>
    <m/>
    <m/>
    <m/>
    <x v="0"/>
    <x v="0"/>
    <x v="0"/>
    <m/>
    <m/>
    <x v="2"/>
    <m/>
    <m/>
    <m/>
    <m/>
    <m/>
    <m/>
    <x v="0"/>
    <x v="2"/>
    <x v="0"/>
    <x v="1"/>
    <x v="1"/>
    <x v="2"/>
    <x v="0"/>
    <x v="0"/>
    <x v="0"/>
    <x v="1"/>
    <x v="0"/>
    <x v="1"/>
    <x v="0"/>
    <x v="0"/>
    <x v="0"/>
    <x v="0"/>
    <x v="1"/>
    <x v="1"/>
    <x v="2"/>
    <x v="1"/>
    <x v="2"/>
    <x v="3"/>
    <x v="1"/>
    <x v="1"/>
    <x v="1"/>
    <x v="2"/>
  </r>
  <r>
    <m/>
    <x v="4"/>
    <x v="0"/>
    <x v="1"/>
    <m/>
    <m/>
    <m/>
    <x v="0"/>
    <m/>
    <x v="2"/>
    <m/>
    <m/>
    <m/>
    <m/>
    <m/>
    <m/>
    <m/>
    <m/>
    <m/>
    <m/>
    <m/>
    <m/>
    <x v="0"/>
    <x v="0"/>
    <x v="0"/>
    <m/>
    <m/>
    <x v="2"/>
    <m/>
    <m/>
    <m/>
    <m/>
    <m/>
    <m/>
    <x v="0"/>
    <x v="2"/>
    <x v="0"/>
    <x v="1"/>
    <x v="1"/>
    <x v="2"/>
    <x v="0"/>
    <x v="0"/>
    <x v="0"/>
    <x v="1"/>
    <x v="0"/>
    <x v="2"/>
    <x v="2"/>
    <x v="0"/>
    <x v="1"/>
    <x v="0"/>
    <x v="4"/>
    <x v="1"/>
    <x v="3"/>
    <x v="1"/>
    <x v="3"/>
    <x v="2"/>
    <x v="1"/>
    <x v="1"/>
    <x v="2"/>
    <x v="3"/>
  </r>
  <r>
    <m/>
    <x v="4"/>
    <x v="2"/>
    <x v="1"/>
    <m/>
    <m/>
    <m/>
    <x v="0"/>
    <m/>
    <x v="2"/>
    <m/>
    <m/>
    <m/>
    <m/>
    <m/>
    <m/>
    <m/>
    <m/>
    <m/>
    <m/>
    <m/>
    <m/>
    <x v="4"/>
    <x v="0"/>
    <x v="0"/>
    <m/>
    <m/>
    <x v="2"/>
    <m/>
    <m/>
    <m/>
    <m/>
    <m/>
    <m/>
    <x v="0"/>
    <x v="2"/>
    <x v="2"/>
    <x v="2"/>
    <x v="1"/>
    <x v="2"/>
    <x v="0"/>
    <x v="0"/>
    <x v="0"/>
    <x v="1"/>
    <x v="0"/>
    <x v="1"/>
    <x v="2"/>
    <x v="0"/>
    <x v="1"/>
    <x v="0"/>
    <x v="1"/>
    <x v="1"/>
    <x v="1"/>
    <x v="3"/>
    <x v="3"/>
    <x v="0"/>
    <x v="3"/>
    <x v="1"/>
    <x v="3"/>
    <x v="1"/>
  </r>
  <r>
    <m/>
    <x v="4"/>
    <x v="0"/>
    <x v="0"/>
    <m/>
    <m/>
    <m/>
    <x v="0"/>
    <m/>
    <x v="0"/>
    <m/>
    <m/>
    <m/>
    <m/>
    <m/>
    <m/>
    <m/>
    <m/>
    <m/>
    <m/>
    <m/>
    <m/>
    <x v="0"/>
    <x v="0"/>
    <x v="1"/>
    <m/>
    <m/>
    <x v="2"/>
    <m/>
    <m/>
    <m/>
    <m/>
    <m/>
    <m/>
    <x v="1"/>
    <x v="4"/>
    <x v="0"/>
    <x v="1"/>
    <x v="1"/>
    <x v="2"/>
    <x v="0"/>
    <x v="0"/>
    <x v="0"/>
    <x v="1"/>
    <x v="2"/>
    <x v="1"/>
    <x v="2"/>
    <x v="0"/>
    <x v="0"/>
    <x v="0"/>
    <x v="1"/>
    <x v="1"/>
    <x v="1"/>
    <x v="1"/>
    <x v="2"/>
    <x v="0"/>
    <x v="3"/>
    <x v="2"/>
    <x v="1"/>
    <x v="2"/>
  </r>
  <r>
    <m/>
    <x v="4"/>
    <x v="2"/>
    <x v="1"/>
    <m/>
    <m/>
    <m/>
    <x v="0"/>
    <m/>
    <x v="2"/>
    <m/>
    <m/>
    <m/>
    <m/>
    <m/>
    <m/>
    <m/>
    <m/>
    <m/>
    <m/>
    <m/>
    <m/>
    <x v="0"/>
    <x v="0"/>
    <x v="0"/>
    <m/>
    <m/>
    <x v="2"/>
    <m/>
    <m/>
    <m/>
    <m/>
    <m/>
    <m/>
    <x v="0"/>
    <x v="2"/>
    <x v="0"/>
    <x v="1"/>
    <x v="1"/>
    <x v="2"/>
    <x v="0"/>
    <x v="0"/>
    <x v="0"/>
    <x v="1"/>
    <x v="0"/>
    <x v="2"/>
    <x v="2"/>
    <x v="0"/>
    <x v="1"/>
    <x v="0"/>
    <x v="1"/>
    <x v="1"/>
    <x v="1"/>
    <x v="1"/>
    <x v="2"/>
    <x v="0"/>
    <x v="2"/>
    <x v="2"/>
    <x v="1"/>
    <x v="2"/>
  </r>
  <r>
    <m/>
    <x v="4"/>
    <x v="2"/>
    <x v="1"/>
    <m/>
    <m/>
    <m/>
    <x v="0"/>
    <m/>
    <x v="2"/>
    <m/>
    <m/>
    <m/>
    <m/>
    <m/>
    <m/>
    <m/>
    <m/>
    <m/>
    <m/>
    <m/>
    <m/>
    <x v="0"/>
    <x v="0"/>
    <x v="0"/>
    <m/>
    <m/>
    <x v="2"/>
    <m/>
    <m/>
    <m/>
    <m/>
    <m/>
    <m/>
    <x v="0"/>
    <x v="2"/>
    <x v="0"/>
    <x v="1"/>
    <x v="4"/>
    <x v="2"/>
    <x v="0"/>
    <x v="0"/>
    <x v="0"/>
    <x v="1"/>
    <x v="0"/>
    <x v="1"/>
    <x v="2"/>
    <x v="0"/>
    <x v="0"/>
    <x v="0"/>
    <x v="1"/>
    <x v="4"/>
    <x v="2"/>
    <x v="1"/>
    <x v="4"/>
    <x v="0"/>
    <x v="3"/>
    <x v="2"/>
    <x v="1"/>
    <x v="2"/>
  </r>
  <r>
    <m/>
    <x v="4"/>
    <x v="0"/>
    <x v="1"/>
    <m/>
    <m/>
    <m/>
    <x v="0"/>
    <m/>
    <x v="2"/>
    <m/>
    <m/>
    <m/>
    <m/>
    <m/>
    <m/>
    <m/>
    <m/>
    <m/>
    <m/>
    <m/>
    <m/>
    <x v="0"/>
    <x v="0"/>
    <x v="0"/>
    <m/>
    <m/>
    <x v="2"/>
    <m/>
    <m/>
    <m/>
    <m/>
    <m/>
    <m/>
    <x v="0"/>
    <x v="2"/>
    <x v="0"/>
    <x v="1"/>
    <x v="1"/>
    <x v="2"/>
    <x v="0"/>
    <x v="0"/>
    <x v="0"/>
    <x v="1"/>
    <x v="0"/>
    <x v="2"/>
    <x v="2"/>
    <x v="0"/>
    <x v="0"/>
    <x v="0"/>
    <x v="1"/>
    <x v="1"/>
    <x v="1"/>
    <x v="1"/>
    <x v="3"/>
    <x v="0"/>
    <x v="2"/>
    <x v="2"/>
    <x v="1"/>
    <x v="3"/>
  </r>
  <r>
    <m/>
    <x v="4"/>
    <x v="0"/>
    <x v="0"/>
    <m/>
    <m/>
    <m/>
    <x v="4"/>
    <m/>
    <x v="0"/>
    <m/>
    <m/>
    <m/>
    <m/>
    <m/>
    <m/>
    <m/>
    <m/>
    <m/>
    <m/>
    <m/>
    <m/>
    <x v="5"/>
    <x v="2"/>
    <x v="5"/>
    <m/>
    <m/>
    <x v="3"/>
    <m/>
    <m/>
    <m/>
    <m/>
    <m/>
    <m/>
    <x v="4"/>
    <x v="0"/>
    <x v="4"/>
    <x v="0"/>
    <x v="0"/>
    <x v="0"/>
    <x v="4"/>
    <x v="3"/>
    <x v="4"/>
    <x v="0"/>
    <x v="4"/>
    <x v="3"/>
    <x v="3"/>
    <x v="3"/>
    <x v="5"/>
    <x v="3"/>
    <x v="4"/>
    <x v="0"/>
    <x v="0"/>
    <x v="2"/>
    <x v="0"/>
    <x v="3"/>
    <x v="1"/>
    <x v="1"/>
    <x v="0"/>
    <x v="0"/>
  </r>
  <r>
    <m/>
    <x v="4"/>
    <x v="0"/>
    <x v="0"/>
    <m/>
    <m/>
    <m/>
    <x v="0"/>
    <m/>
    <x v="0"/>
    <m/>
    <m/>
    <m/>
    <m/>
    <m/>
    <m/>
    <m/>
    <m/>
    <m/>
    <m/>
    <m/>
    <m/>
    <x v="0"/>
    <x v="0"/>
    <x v="0"/>
    <m/>
    <m/>
    <x v="3"/>
    <m/>
    <m/>
    <m/>
    <m/>
    <m/>
    <m/>
    <x v="0"/>
    <x v="0"/>
    <x v="0"/>
    <x v="1"/>
    <x v="1"/>
    <x v="0"/>
    <x v="0"/>
    <x v="0"/>
    <x v="0"/>
    <x v="1"/>
    <x v="0"/>
    <x v="3"/>
    <x v="3"/>
    <x v="3"/>
    <x v="1"/>
    <x v="3"/>
    <x v="4"/>
    <x v="1"/>
    <x v="1"/>
    <x v="2"/>
    <x v="4"/>
    <x v="2"/>
    <x v="0"/>
    <x v="1"/>
    <x v="0"/>
    <x v="1"/>
  </r>
  <r>
    <m/>
    <x v="4"/>
    <x v="0"/>
    <x v="1"/>
    <m/>
    <m/>
    <m/>
    <x v="0"/>
    <m/>
    <x v="2"/>
    <m/>
    <m/>
    <m/>
    <m/>
    <m/>
    <m/>
    <m/>
    <m/>
    <m/>
    <m/>
    <m/>
    <m/>
    <x v="3"/>
    <x v="4"/>
    <x v="0"/>
    <m/>
    <m/>
    <x v="4"/>
    <m/>
    <m/>
    <m/>
    <m/>
    <m/>
    <m/>
    <x v="0"/>
    <x v="2"/>
    <x v="0"/>
    <x v="1"/>
    <x v="1"/>
    <x v="2"/>
    <x v="3"/>
    <x v="0"/>
    <x v="0"/>
    <x v="1"/>
    <x v="0"/>
    <x v="1"/>
    <x v="2"/>
    <x v="0"/>
    <x v="1"/>
    <x v="2"/>
    <x v="2"/>
    <x v="2"/>
    <x v="1"/>
    <x v="2"/>
    <x v="4"/>
    <x v="2"/>
    <x v="3"/>
    <x v="2"/>
    <x v="3"/>
    <x v="1"/>
  </r>
  <r>
    <m/>
    <x v="4"/>
    <x v="0"/>
    <x v="0"/>
    <m/>
    <m/>
    <m/>
    <x v="0"/>
    <m/>
    <x v="2"/>
    <m/>
    <m/>
    <m/>
    <m/>
    <m/>
    <m/>
    <m/>
    <m/>
    <m/>
    <m/>
    <m/>
    <m/>
    <x v="0"/>
    <x v="4"/>
    <x v="1"/>
    <m/>
    <m/>
    <x v="2"/>
    <m/>
    <m/>
    <m/>
    <m/>
    <m/>
    <m/>
    <x v="1"/>
    <x v="5"/>
    <x v="2"/>
    <x v="2"/>
    <x v="4"/>
    <x v="3"/>
    <x v="5"/>
    <x v="2"/>
    <x v="1"/>
    <x v="3"/>
    <x v="5"/>
    <x v="2"/>
    <x v="0"/>
    <x v="4"/>
    <x v="1"/>
    <x v="0"/>
    <x v="0"/>
    <x v="2"/>
    <x v="3"/>
    <x v="3"/>
    <x v="5"/>
    <x v="2"/>
    <x v="1"/>
    <x v="1"/>
    <x v="3"/>
    <x v="3"/>
  </r>
  <r>
    <m/>
    <x v="4"/>
    <x v="0"/>
    <x v="0"/>
    <m/>
    <m/>
    <m/>
    <x v="0"/>
    <m/>
    <x v="2"/>
    <m/>
    <m/>
    <m/>
    <m/>
    <m/>
    <m/>
    <m/>
    <m/>
    <m/>
    <m/>
    <m/>
    <m/>
    <x v="0"/>
    <x v="0"/>
    <x v="0"/>
    <m/>
    <m/>
    <x v="2"/>
    <m/>
    <m/>
    <m/>
    <m/>
    <m/>
    <m/>
    <x v="0"/>
    <x v="2"/>
    <x v="0"/>
    <x v="1"/>
    <x v="1"/>
    <x v="2"/>
    <x v="0"/>
    <x v="0"/>
    <x v="0"/>
    <x v="1"/>
    <x v="0"/>
    <x v="2"/>
    <x v="2"/>
    <x v="0"/>
    <x v="0"/>
    <x v="0"/>
    <x v="1"/>
    <x v="1"/>
    <x v="1"/>
    <x v="1"/>
    <x v="2"/>
    <x v="0"/>
    <x v="2"/>
    <x v="2"/>
    <x v="1"/>
    <x v="2"/>
  </r>
  <r>
    <m/>
    <x v="4"/>
    <x v="0"/>
    <x v="1"/>
    <m/>
    <m/>
    <m/>
    <x v="0"/>
    <m/>
    <x v="0"/>
    <m/>
    <m/>
    <m/>
    <m/>
    <m/>
    <m/>
    <m/>
    <m/>
    <m/>
    <m/>
    <m/>
    <m/>
    <x v="0"/>
    <x v="0"/>
    <x v="0"/>
    <m/>
    <m/>
    <x v="3"/>
    <m/>
    <m/>
    <m/>
    <m/>
    <m/>
    <m/>
    <x v="0"/>
    <x v="0"/>
    <x v="0"/>
    <x v="1"/>
    <x v="1"/>
    <x v="0"/>
    <x v="4"/>
    <x v="0"/>
    <x v="0"/>
    <x v="0"/>
    <x v="0"/>
    <x v="1"/>
    <x v="0"/>
    <x v="0"/>
    <x v="1"/>
    <x v="0"/>
    <x v="1"/>
    <x v="1"/>
    <x v="0"/>
    <x v="2"/>
    <x v="3"/>
    <x v="0"/>
    <x v="1"/>
    <x v="1"/>
    <x v="0"/>
    <x v="0"/>
  </r>
  <r>
    <m/>
    <x v="4"/>
    <x v="0"/>
    <x v="1"/>
    <m/>
    <m/>
    <m/>
    <x v="0"/>
    <m/>
    <x v="2"/>
    <m/>
    <m/>
    <m/>
    <m/>
    <m/>
    <m/>
    <m/>
    <m/>
    <m/>
    <m/>
    <m/>
    <m/>
    <x v="0"/>
    <x v="0"/>
    <x v="0"/>
    <m/>
    <m/>
    <x v="2"/>
    <m/>
    <m/>
    <m/>
    <m/>
    <m/>
    <m/>
    <x v="0"/>
    <x v="2"/>
    <x v="0"/>
    <x v="1"/>
    <x v="1"/>
    <x v="2"/>
    <x v="0"/>
    <x v="0"/>
    <x v="0"/>
    <x v="1"/>
    <x v="0"/>
    <x v="1"/>
    <x v="3"/>
    <x v="0"/>
    <x v="0"/>
    <x v="0"/>
    <x v="1"/>
    <x v="1"/>
    <x v="1"/>
    <x v="1"/>
    <x v="2"/>
    <x v="2"/>
    <x v="2"/>
    <x v="2"/>
    <x v="1"/>
    <x v="2"/>
  </r>
  <r>
    <m/>
    <x v="4"/>
    <x v="3"/>
    <x v="1"/>
    <m/>
    <m/>
    <m/>
    <x v="0"/>
    <m/>
    <x v="3"/>
    <m/>
    <m/>
    <m/>
    <m/>
    <m/>
    <m/>
    <m/>
    <m/>
    <m/>
    <m/>
    <m/>
    <m/>
    <x v="0"/>
    <x v="0"/>
    <x v="0"/>
    <m/>
    <m/>
    <x v="2"/>
    <m/>
    <m/>
    <m/>
    <m/>
    <m/>
    <m/>
    <x v="0"/>
    <x v="2"/>
    <x v="0"/>
    <x v="1"/>
    <x v="1"/>
    <x v="2"/>
    <x v="0"/>
    <x v="0"/>
    <x v="0"/>
    <x v="1"/>
    <x v="0"/>
    <x v="2"/>
    <x v="2"/>
    <x v="0"/>
    <x v="0"/>
    <x v="0"/>
    <x v="2"/>
    <x v="1"/>
    <x v="1"/>
    <x v="1"/>
    <x v="5"/>
    <x v="0"/>
    <x v="2"/>
    <x v="2"/>
    <x v="3"/>
    <x v="2"/>
  </r>
  <r>
    <m/>
    <x v="4"/>
    <x v="0"/>
    <x v="0"/>
    <m/>
    <m/>
    <m/>
    <x v="0"/>
    <m/>
    <x v="2"/>
    <m/>
    <m/>
    <m/>
    <m/>
    <m/>
    <m/>
    <m/>
    <m/>
    <m/>
    <m/>
    <m/>
    <m/>
    <x v="0"/>
    <x v="0"/>
    <x v="0"/>
    <m/>
    <m/>
    <x v="2"/>
    <m/>
    <m/>
    <m/>
    <m/>
    <m/>
    <m/>
    <x v="0"/>
    <x v="2"/>
    <x v="0"/>
    <x v="1"/>
    <x v="1"/>
    <x v="2"/>
    <x v="0"/>
    <x v="0"/>
    <x v="0"/>
    <x v="1"/>
    <x v="0"/>
    <x v="2"/>
    <x v="2"/>
    <x v="0"/>
    <x v="1"/>
    <x v="0"/>
    <x v="1"/>
    <x v="1"/>
    <x v="1"/>
    <x v="1"/>
    <x v="2"/>
    <x v="0"/>
    <x v="1"/>
    <x v="1"/>
    <x v="3"/>
    <x v="1"/>
  </r>
  <r>
    <m/>
    <x v="4"/>
    <x v="0"/>
    <x v="1"/>
    <m/>
    <m/>
    <m/>
    <x v="0"/>
    <m/>
    <x v="2"/>
    <m/>
    <m/>
    <m/>
    <m/>
    <m/>
    <m/>
    <m/>
    <m/>
    <m/>
    <m/>
    <m/>
    <m/>
    <x v="0"/>
    <x v="0"/>
    <x v="0"/>
    <m/>
    <m/>
    <x v="2"/>
    <m/>
    <m/>
    <m/>
    <m/>
    <m/>
    <m/>
    <x v="0"/>
    <x v="2"/>
    <x v="0"/>
    <x v="1"/>
    <x v="1"/>
    <x v="2"/>
    <x v="0"/>
    <x v="0"/>
    <x v="0"/>
    <x v="1"/>
    <x v="0"/>
    <x v="2"/>
    <x v="2"/>
    <x v="0"/>
    <x v="1"/>
    <x v="0"/>
    <x v="1"/>
    <x v="1"/>
    <x v="1"/>
    <x v="1"/>
    <x v="2"/>
    <x v="0"/>
    <x v="1"/>
    <x v="1"/>
    <x v="2"/>
    <x v="2"/>
  </r>
  <r>
    <m/>
    <x v="4"/>
    <x v="0"/>
    <x v="1"/>
    <m/>
    <m/>
    <m/>
    <x v="0"/>
    <m/>
    <x v="2"/>
    <m/>
    <m/>
    <m/>
    <m/>
    <m/>
    <m/>
    <m/>
    <m/>
    <m/>
    <m/>
    <m/>
    <m/>
    <x v="2"/>
    <x v="1"/>
    <x v="0"/>
    <m/>
    <m/>
    <x v="0"/>
    <m/>
    <m/>
    <m/>
    <m/>
    <m/>
    <m/>
    <x v="0"/>
    <x v="2"/>
    <x v="0"/>
    <x v="1"/>
    <x v="1"/>
    <x v="2"/>
    <x v="0"/>
    <x v="0"/>
    <x v="0"/>
    <x v="1"/>
    <x v="0"/>
    <x v="2"/>
    <x v="2"/>
    <x v="0"/>
    <x v="0"/>
    <x v="0"/>
    <x v="4"/>
    <x v="0"/>
    <x v="1"/>
    <x v="1"/>
    <x v="3"/>
    <x v="0"/>
    <x v="2"/>
    <x v="2"/>
    <x v="1"/>
    <x v="1"/>
  </r>
  <r>
    <m/>
    <x v="4"/>
    <x v="0"/>
    <x v="1"/>
    <m/>
    <m/>
    <m/>
    <x v="0"/>
    <m/>
    <x v="2"/>
    <m/>
    <m/>
    <m/>
    <m/>
    <m/>
    <m/>
    <m/>
    <m/>
    <m/>
    <m/>
    <m/>
    <m/>
    <x v="0"/>
    <x v="0"/>
    <x v="0"/>
    <m/>
    <m/>
    <x v="2"/>
    <m/>
    <m/>
    <m/>
    <m/>
    <m/>
    <m/>
    <x v="0"/>
    <x v="2"/>
    <x v="0"/>
    <x v="1"/>
    <x v="1"/>
    <x v="2"/>
    <x v="0"/>
    <x v="0"/>
    <x v="0"/>
    <x v="1"/>
    <x v="0"/>
    <x v="2"/>
    <x v="2"/>
    <x v="0"/>
    <x v="1"/>
    <x v="0"/>
    <x v="1"/>
    <x v="1"/>
    <x v="1"/>
    <x v="1"/>
    <x v="2"/>
    <x v="3"/>
    <x v="1"/>
    <x v="2"/>
    <x v="1"/>
    <x v="2"/>
  </r>
  <r>
    <m/>
    <x v="4"/>
    <x v="0"/>
    <x v="1"/>
    <m/>
    <m/>
    <m/>
    <x v="0"/>
    <m/>
    <x v="2"/>
    <m/>
    <m/>
    <m/>
    <m/>
    <m/>
    <m/>
    <m/>
    <m/>
    <m/>
    <m/>
    <m/>
    <m/>
    <x v="0"/>
    <x v="0"/>
    <x v="0"/>
    <m/>
    <m/>
    <x v="0"/>
    <m/>
    <m/>
    <m/>
    <m/>
    <m/>
    <m/>
    <x v="0"/>
    <x v="2"/>
    <x v="0"/>
    <x v="1"/>
    <x v="1"/>
    <x v="2"/>
    <x v="0"/>
    <x v="2"/>
    <x v="0"/>
    <x v="1"/>
    <x v="0"/>
    <x v="1"/>
    <x v="2"/>
    <x v="0"/>
    <x v="0"/>
    <x v="0"/>
    <x v="1"/>
    <x v="1"/>
    <x v="0"/>
    <x v="1"/>
    <x v="2"/>
    <x v="0"/>
    <x v="2"/>
    <x v="1"/>
    <x v="3"/>
    <x v="1"/>
  </r>
  <r>
    <m/>
    <x v="4"/>
    <x v="0"/>
    <x v="1"/>
    <m/>
    <m/>
    <m/>
    <x v="0"/>
    <m/>
    <x v="5"/>
    <m/>
    <m/>
    <m/>
    <m/>
    <m/>
    <m/>
    <m/>
    <m/>
    <m/>
    <m/>
    <m/>
    <m/>
    <x v="0"/>
    <x v="0"/>
    <x v="1"/>
    <m/>
    <m/>
    <x v="2"/>
    <m/>
    <m/>
    <m/>
    <m/>
    <m/>
    <m/>
    <x v="3"/>
    <x v="4"/>
    <x v="0"/>
    <x v="1"/>
    <x v="1"/>
    <x v="2"/>
    <x v="0"/>
    <x v="0"/>
    <x v="0"/>
    <x v="1"/>
    <x v="0"/>
    <x v="2"/>
    <x v="5"/>
    <x v="0"/>
    <x v="1"/>
    <x v="0"/>
    <x v="1"/>
    <x v="1"/>
    <x v="0"/>
    <x v="2"/>
    <x v="2"/>
    <x v="3"/>
    <x v="1"/>
    <x v="2"/>
    <x v="1"/>
    <x v="2"/>
  </r>
  <r>
    <m/>
    <x v="4"/>
    <x v="0"/>
    <x v="1"/>
    <m/>
    <m/>
    <m/>
    <x v="0"/>
    <m/>
    <x v="4"/>
    <m/>
    <m/>
    <m/>
    <m/>
    <m/>
    <m/>
    <m/>
    <m/>
    <m/>
    <m/>
    <m/>
    <m/>
    <x v="0"/>
    <x v="0"/>
    <x v="1"/>
    <m/>
    <m/>
    <x v="2"/>
    <m/>
    <m/>
    <m/>
    <m/>
    <m/>
    <m/>
    <x v="0"/>
    <x v="2"/>
    <x v="0"/>
    <x v="1"/>
    <x v="1"/>
    <x v="2"/>
    <x v="0"/>
    <x v="0"/>
    <x v="0"/>
    <x v="1"/>
    <x v="0"/>
    <x v="2"/>
    <x v="2"/>
    <x v="0"/>
    <x v="0"/>
    <x v="0"/>
    <x v="1"/>
    <x v="2"/>
    <x v="0"/>
    <x v="2"/>
    <x v="3"/>
    <x v="0"/>
    <x v="2"/>
    <x v="2"/>
    <x v="2"/>
    <x v="2"/>
  </r>
  <r>
    <m/>
    <x v="4"/>
    <x v="0"/>
    <x v="1"/>
    <m/>
    <m/>
    <m/>
    <x v="1"/>
    <m/>
    <x v="2"/>
    <m/>
    <m/>
    <m/>
    <m/>
    <m/>
    <m/>
    <m/>
    <m/>
    <m/>
    <m/>
    <m/>
    <m/>
    <x v="0"/>
    <x v="0"/>
    <x v="0"/>
    <m/>
    <m/>
    <x v="3"/>
    <m/>
    <m/>
    <m/>
    <m/>
    <m/>
    <m/>
    <x v="0"/>
    <x v="2"/>
    <x v="2"/>
    <x v="2"/>
    <x v="2"/>
    <x v="2"/>
    <x v="0"/>
    <x v="0"/>
    <x v="0"/>
    <x v="1"/>
    <x v="0"/>
    <x v="2"/>
    <x v="2"/>
    <x v="0"/>
    <x v="1"/>
    <x v="4"/>
    <x v="3"/>
    <x v="1"/>
    <x v="2"/>
    <x v="2"/>
    <x v="1"/>
    <x v="0"/>
    <x v="0"/>
    <x v="1"/>
    <x v="2"/>
    <x v="1"/>
  </r>
  <r>
    <m/>
    <x v="4"/>
    <x v="0"/>
    <x v="1"/>
    <m/>
    <m/>
    <m/>
    <x v="0"/>
    <m/>
    <x v="2"/>
    <m/>
    <m/>
    <m/>
    <m/>
    <m/>
    <m/>
    <m/>
    <m/>
    <m/>
    <m/>
    <m/>
    <m/>
    <x v="0"/>
    <x v="0"/>
    <x v="0"/>
    <m/>
    <m/>
    <x v="2"/>
    <m/>
    <m/>
    <m/>
    <m/>
    <m/>
    <m/>
    <x v="0"/>
    <x v="2"/>
    <x v="0"/>
    <x v="1"/>
    <x v="1"/>
    <x v="2"/>
    <x v="0"/>
    <x v="0"/>
    <x v="0"/>
    <x v="1"/>
    <x v="0"/>
    <x v="2"/>
    <x v="2"/>
    <x v="0"/>
    <x v="1"/>
    <x v="0"/>
    <x v="3"/>
    <x v="2"/>
    <x v="0"/>
    <x v="2"/>
    <x v="2"/>
    <x v="0"/>
    <x v="1"/>
    <x v="2"/>
    <x v="1"/>
    <x v="2"/>
  </r>
  <r>
    <m/>
    <x v="4"/>
    <x v="0"/>
    <x v="1"/>
    <m/>
    <m/>
    <m/>
    <x v="5"/>
    <m/>
    <x v="5"/>
    <m/>
    <m/>
    <m/>
    <m/>
    <m/>
    <m/>
    <m/>
    <m/>
    <m/>
    <m/>
    <m/>
    <m/>
    <x v="0"/>
    <x v="0"/>
    <x v="0"/>
    <m/>
    <m/>
    <x v="2"/>
    <m/>
    <m/>
    <m/>
    <m/>
    <m/>
    <m/>
    <x v="3"/>
    <x v="3"/>
    <x v="3"/>
    <x v="4"/>
    <x v="5"/>
    <x v="5"/>
    <x v="2"/>
    <x v="0"/>
    <x v="0"/>
    <x v="1"/>
    <x v="3"/>
    <x v="4"/>
    <x v="4"/>
    <x v="0"/>
    <x v="1"/>
    <x v="2"/>
    <x v="2"/>
    <x v="3"/>
    <x v="0"/>
    <x v="2"/>
    <x v="2"/>
    <x v="2"/>
    <x v="1"/>
    <x v="1"/>
    <x v="1"/>
    <x v="3"/>
  </r>
  <r>
    <m/>
    <x v="4"/>
    <x v="0"/>
    <x v="0"/>
    <m/>
    <m/>
    <m/>
    <x v="0"/>
    <m/>
    <x v="2"/>
    <m/>
    <m/>
    <m/>
    <m/>
    <m/>
    <m/>
    <m/>
    <m/>
    <m/>
    <m/>
    <m/>
    <m/>
    <x v="2"/>
    <x v="1"/>
    <x v="0"/>
    <m/>
    <m/>
    <x v="1"/>
    <m/>
    <m/>
    <m/>
    <m/>
    <m/>
    <m/>
    <x v="0"/>
    <x v="2"/>
    <x v="0"/>
    <x v="1"/>
    <x v="1"/>
    <x v="2"/>
    <x v="0"/>
    <x v="0"/>
    <x v="0"/>
    <x v="1"/>
    <x v="0"/>
    <x v="2"/>
    <x v="2"/>
    <x v="0"/>
    <x v="1"/>
    <x v="0"/>
    <x v="1"/>
    <x v="1"/>
    <x v="2"/>
    <x v="2"/>
    <x v="4"/>
    <x v="0"/>
    <x v="2"/>
    <x v="2"/>
    <x v="1"/>
    <x v="1"/>
  </r>
  <r>
    <m/>
    <x v="4"/>
    <x v="3"/>
    <x v="0"/>
    <m/>
    <m/>
    <m/>
    <x v="0"/>
    <m/>
    <x v="2"/>
    <m/>
    <m/>
    <m/>
    <m/>
    <m/>
    <m/>
    <m/>
    <m/>
    <m/>
    <m/>
    <m/>
    <m/>
    <x v="0"/>
    <x v="0"/>
    <x v="0"/>
    <m/>
    <m/>
    <x v="2"/>
    <m/>
    <m/>
    <m/>
    <m/>
    <m/>
    <m/>
    <x v="0"/>
    <x v="2"/>
    <x v="0"/>
    <x v="1"/>
    <x v="4"/>
    <x v="2"/>
    <x v="0"/>
    <x v="0"/>
    <x v="0"/>
    <x v="1"/>
    <x v="0"/>
    <x v="2"/>
    <x v="2"/>
    <x v="0"/>
    <x v="0"/>
    <x v="0"/>
    <x v="3"/>
    <x v="1"/>
    <x v="2"/>
    <x v="1"/>
    <x v="2"/>
    <x v="0"/>
    <x v="1"/>
    <x v="1"/>
    <x v="3"/>
    <x v="1"/>
  </r>
  <r>
    <m/>
    <x v="4"/>
    <x v="3"/>
    <x v="0"/>
    <m/>
    <m/>
    <m/>
    <x v="0"/>
    <m/>
    <x v="4"/>
    <m/>
    <m/>
    <m/>
    <m/>
    <m/>
    <m/>
    <m/>
    <m/>
    <m/>
    <m/>
    <m/>
    <m/>
    <x v="0"/>
    <x v="0"/>
    <x v="0"/>
    <m/>
    <m/>
    <x v="2"/>
    <m/>
    <m/>
    <m/>
    <m/>
    <m/>
    <m/>
    <x v="0"/>
    <x v="2"/>
    <x v="0"/>
    <x v="1"/>
    <x v="1"/>
    <x v="2"/>
    <x v="0"/>
    <x v="0"/>
    <x v="0"/>
    <x v="1"/>
    <x v="0"/>
    <x v="2"/>
    <x v="2"/>
    <x v="0"/>
    <x v="0"/>
    <x v="0"/>
    <x v="1"/>
    <x v="1"/>
    <x v="1"/>
    <x v="1"/>
    <x v="2"/>
    <x v="3"/>
    <x v="2"/>
    <x v="2"/>
    <x v="1"/>
    <x v="1"/>
  </r>
  <r>
    <m/>
    <x v="4"/>
    <x v="3"/>
    <x v="0"/>
    <m/>
    <m/>
    <m/>
    <x v="0"/>
    <m/>
    <x v="2"/>
    <m/>
    <m/>
    <m/>
    <m/>
    <m/>
    <m/>
    <m/>
    <m/>
    <m/>
    <m/>
    <m/>
    <m/>
    <x v="0"/>
    <x v="0"/>
    <x v="0"/>
    <m/>
    <m/>
    <x v="2"/>
    <m/>
    <m/>
    <m/>
    <m/>
    <m/>
    <m/>
    <x v="0"/>
    <x v="2"/>
    <x v="0"/>
    <x v="1"/>
    <x v="1"/>
    <x v="2"/>
    <x v="0"/>
    <x v="0"/>
    <x v="0"/>
    <x v="1"/>
    <x v="0"/>
    <x v="2"/>
    <x v="2"/>
    <x v="0"/>
    <x v="0"/>
    <x v="0"/>
    <x v="1"/>
    <x v="1"/>
    <x v="2"/>
    <x v="1"/>
    <x v="3"/>
    <x v="2"/>
    <x v="2"/>
    <x v="2"/>
    <x v="1"/>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3">
  <r>
    <m/>
    <x v="0"/>
    <x v="0"/>
    <x v="0"/>
    <n v="4"/>
    <n v="3"/>
    <n v="4"/>
    <x v="0"/>
    <n v="4"/>
    <x v="0"/>
    <n v="3"/>
    <n v="4"/>
    <n v="4"/>
    <n v="4"/>
    <n v="4"/>
    <n v="4"/>
    <n v="4"/>
    <n v="4"/>
    <n v="4"/>
    <n v="4"/>
    <n v="2"/>
    <n v="4"/>
    <x v="0"/>
    <x v="0"/>
    <x v="0"/>
    <n v="4"/>
    <n v="4"/>
    <x v="0"/>
    <n v="3"/>
    <n v="4"/>
    <n v="3"/>
    <n v="3"/>
    <n v="3"/>
    <n v="4"/>
    <x v="0"/>
    <x v="0"/>
    <x v="0"/>
    <x v="0"/>
    <x v="0"/>
    <x v="0"/>
    <x v="0"/>
    <x v="0"/>
    <x v="0"/>
    <x v="0"/>
    <x v="0"/>
    <x v="0"/>
    <x v="0"/>
    <x v="0"/>
    <x v="0"/>
    <x v="0"/>
    <x v="0"/>
    <x v="0"/>
    <x v="0"/>
    <x v="0"/>
    <x v="0"/>
    <x v="0"/>
    <m/>
    <m/>
    <m/>
    <m/>
  </r>
  <r>
    <m/>
    <x v="0"/>
    <x v="0"/>
    <x v="0"/>
    <n v="3"/>
    <n v="4"/>
    <n v="4"/>
    <x v="0"/>
    <n v="4"/>
    <x v="0"/>
    <n v="4"/>
    <n v="4"/>
    <n v="4"/>
    <n v="5"/>
    <n v="4"/>
    <n v="4"/>
    <n v="4"/>
    <n v="4"/>
    <n v="1"/>
    <n v="4"/>
    <n v="1"/>
    <n v="4"/>
    <x v="0"/>
    <x v="0"/>
    <x v="0"/>
    <n v="4"/>
    <n v="4"/>
    <x v="0"/>
    <n v="4"/>
    <n v="4"/>
    <n v="4"/>
    <n v="4"/>
    <n v="4"/>
    <n v="4"/>
    <x v="0"/>
    <x v="0"/>
    <x v="0"/>
    <x v="0"/>
    <x v="0"/>
    <x v="0"/>
    <x v="0"/>
    <x v="0"/>
    <x v="0"/>
    <x v="0"/>
    <x v="0"/>
    <x v="0"/>
    <x v="0"/>
    <x v="0"/>
    <x v="0"/>
    <x v="0"/>
    <x v="0"/>
    <x v="0"/>
    <x v="0"/>
    <x v="0"/>
    <x v="0"/>
    <x v="0"/>
    <m/>
    <m/>
    <m/>
    <m/>
  </r>
  <r>
    <m/>
    <x v="0"/>
    <x v="0"/>
    <x v="1"/>
    <n v="3"/>
    <n v="3"/>
    <n v="3"/>
    <x v="0"/>
    <n v="4"/>
    <x v="0"/>
    <n v="5"/>
    <n v="3"/>
    <n v="4"/>
    <n v="4"/>
    <n v="4"/>
    <n v="4"/>
    <n v="3"/>
    <n v="3"/>
    <n v="3"/>
    <n v="4"/>
    <n v="3"/>
    <n v="3"/>
    <x v="0"/>
    <x v="0"/>
    <x v="1"/>
    <n v="4"/>
    <n v="4"/>
    <x v="0"/>
    <n v="1"/>
    <n v="3"/>
    <n v="1"/>
    <n v="3"/>
    <n v="3"/>
    <n v="3"/>
    <x v="1"/>
    <x v="1"/>
    <x v="0"/>
    <x v="0"/>
    <x v="0"/>
    <x v="0"/>
    <x v="0"/>
    <x v="0"/>
    <x v="0"/>
    <x v="0"/>
    <x v="0"/>
    <x v="0"/>
    <x v="0"/>
    <x v="0"/>
    <x v="0"/>
    <x v="0"/>
    <x v="0"/>
    <x v="0"/>
    <x v="0"/>
    <x v="0"/>
    <x v="0"/>
    <x v="0"/>
    <m/>
    <m/>
    <m/>
    <m/>
  </r>
  <r>
    <m/>
    <x v="0"/>
    <x v="0"/>
    <x v="0"/>
    <n v="4"/>
    <n v="4"/>
    <n v="4"/>
    <x v="0"/>
    <n v="4"/>
    <x v="0"/>
    <n v="5"/>
    <n v="4"/>
    <n v="5"/>
    <n v="4"/>
    <n v="4"/>
    <n v="4"/>
    <n v="4"/>
    <n v="4"/>
    <n v="4"/>
    <n v="4"/>
    <n v="1"/>
    <n v="4"/>
    <x v="0"/>
    <x v="0"/>
    <x v="0"/>
    <n v="4"/>
    <n v="4"/>
    <x v="0"/>
    <n v="3"/>
    <n v="3"/>
    <n v="3"/>
    <n v="3"/>
    <n v="3"/>
    <n v="3"/>
    <x v="0"/>
    <x v="0"/>
    <x v="0"/>
    <x v="0"/>
    <x v="0"/>
    <x v="0"/>
    <x v="0"/>
    <x v="0"/>
    <x v="0"/>
    <x v="0"/>
    <x v="0"/>
    <x v="0"/>
    <x v="0"/>
    <x v="0"/>
    <x v="0"/>
    <x v="0"/>
    <x v="0"/>
    <x v="0"/>
    <x v="0"/>
    <x v="0"/>
    <x v="0"/>
    <x v="0"/>
    <m/>
    <m/>
    <m/>
    <m/>
  </r>
  <r>
    <m/>
    <x v="0"/>
    <x v="0"/>
    <x v="0"/>
    <n v="3"/>
    <n v="4"/>
    <n v="3"/>
    <x v="1"/>
    <n v="3"/>
    <x v="1"/>
    <n v="3"/>
    <n v="3"/>
    <n v="3"/>
    <n v="3"/>
    <n v="3"/>
    <n v="3"/>
    <n v="2"/>
    <n v="3"/>
    <n v="3"/>
    <n v="3"/>
    <n v="3"/>
    <n v="3"/>
    <x v="1"/>
    <x v="1"/>
    <x v="1"/>
    <n v="3"/>
    <n v="3"/>
    <x v="1"/>
    <n v="3"/>
    <n v="3"/>
    <n v="3"/>
    <n v="5"/>
    <n v="3"/>
    <n v="3"/>
    <x v="1"/>
    <x v="2"/>
    <x v="0"/>
    <x v="0"/>
    <x v="0"/>
    <x v="0"/>
    <x v="0"/>
    <x v="0"/>
    <x v="0"/>
    <x v="0"/>
    <x v="0"/>
    <x v="0"/>
    <x v="0"/>
    <x v="0"/>
    <x v="0"/>
    <x v="0"/>
    <x v="0"/>
    <x v="0"/>
    <x v="0"/>
    <x v="0"/>
    <x v="0"/>
    <x v="0"/>
    <m/>
    <m/>
    <m/>
    <m/>
  </r>
  <r>
    <m/>
    <x v="0"/>
    <x v="0"/>
    <x v="0"/>
    <n v="3"/>
    <n v="3"/>
    <n v="4"/>
    <x v="0"/>
    <n v="3"/>
    <x v="2"/>
    <n v="1"/>
    <n v="3"/>
    <n v="4"/>
    <n v="4"/>
    <n v="4"/>
    <n v="4"/>
    <n v="3"/>
    <n v="3"/>
    <n v="5"/>
    <n v="3"/>
    <n v="1"/>
    <n v="4"/>
    <x v="2"/>
    <x v="0"/>
    <x v="1"/>
    <n v="3"/>
    <n v="4"/>
    <x v="0"/>
    <n v="3"/>
    <n v="3"/>
    <n v="3"/>
    <n v="2"/>
    <n v="3"/>
    <n v="3"/>
    <x v="0"/>
    <x v="0"/>
    <x v="0"/>
    <x v="0"/>
    <x v="0"/>
    <x v="0"/>
    <x v="0"/>
    <x v="0"/>
    <x v="0"/>
    <x v="0"/>
    <x v="0"/>
    <x v="0"/>
    <x v="0"/>
    <x v="0"/>
    <x v="0"/>
    <x v="0"/>
    <x v="0"/>
    <x v="0"/>
    <x v="0"/>
    <x v="0"/>
    <x v="0"/>
    <x v="0"/>
    <m/>
    <m/>
    <m/>
    <m/>
  </r>
  <r>
    <m/>
    <x v="0"/>
    <x v="0"/>
    <x v="1"/>
    <n v="3"/>
    <n v="4"/>
    <n v="4"/>
    <x v="1"/>
    <n v="4"/>
    <x v="2"/>
    <n v="4"/>
    <n v="3"/>
    <n v="4"/>
    <n v="4"/>
    <n v="4"/>
    <n v="4"/>
    <n v="3"/>
    <n v="4"/>
    <n v="5"/>
    <n v="3"/>
    <n v="1"/>
    <n v="4"/>
    <x v="0"/>
    <x v="0"/>
    <x v="0"/>
    <n v="3"/>
    <n v="3"/>
    <x v="0"/>
    <n v="1"/>
    <n v="3"/>
    <n v="3"/>
    <n v="5"/>
    <n v="1"/>
    <n v="3"/>
    <x v="0"/>
    <x v="0"/>
    <x v="0"/>
    <x v="0"/>
    <x v="0"/>
    <x v="0"/>
    <x v="0"/>
    <x v="0"/>
    <x v="0"/>
    <x v="0"/>
    <x v="0"/>
    <x v="0"/>
    <x v="0"/>
    <x v="0"/>
    <x v="0"/>
    <x v="0"/>
    <x v="0"/>
    <x v="0"/>
    <x v="0"/>
    <x v="0"/>
    <x v="0"/>
    <x v="0"/>
    <m/>
    <m/>
    <m/>
    <m/>
  </r>
  <r>
    <m/>
    <x v="0"/>
    <x v="0"/>
    <x v="1"/>
    <n v="3"/>
    <n v="3"/>
    <n v="3"/>
    <x v="0"/>
    <n v="4"/>
    <x v="2"/>
    <n v="2"/>
    <n v="3"/>
    <n v="2"/>
    <n v="3"/>
    <n v="3"/>
    <n v="3"/>
    <n v="9"/>
    <n v="2"/>
    <n v="2"/>
    <n v="3"/>
    <n v="3"/>
    <n v="3"/>
    <x v="0"/>
    <x v="0"/>
    <x v="0"/>
    <n v="4"/>
    <n v="4"/>
    <x v="0"/>
    <n v="3"/>
    <n v="4"/>
    <n v="4"/>
    <n v="3"/>
    <n v="3"/>
    <n v="3"/>
    <x v="0"/>
    <x v="0"/>
    <x v="0"/>
    <x v="0"/>
    <x v="0"/>
    <x v="0"/>
    <x v="0"/>
    <x v="0"/>
    <x v="0"/>
    <x v="0"/>
    <x v="0"/>
    <x v="0"/>
    <x v="0"/>
    <x v="0"/>
    <x v="0"/>
    <x v="0"/>
    <x v="0"/>
    <x v="0"/>
    <x v="0"/>
    <x v="0"/>
    <x v="0"/>
    <x v="0"/>
    <m/>
    <m/>
    <m/>
    <m/>
  </r>
  <r>
    <m/>
    <x v="0"/>
    <x v="0"/>
    <x v="0"/>
    <n v="3"/>
    <n v="4"/>
    <n v="4"/>
    <x v="0"/>
    <n v="4"/>
    <x v="0"/>
    <n v="2"/>
    <n v="4"/>
    <n v="4"/>
    <n v="4"/>
    <n v="4"/>
    <n v="4"/>
    <n v="4"/>
    <n v="2"/>
    <n v="2"/>
    <n v="4"/>
    <n v="1"/>
    <n v="4"/>
    <x v="0"/>
    <x v="0"/>
    <x v="0"/>
    <n v="4"/>
    <n v="4"/>
    <x v="0"/>
    <n v="3"/>
    <n v="4"/>
    <n v="2"/>
    <n v="4"/>
    <n v="4"/>
    <n v="5"/>
    <x v="0"/>
    <x v="0"/>
    <x v="0"/>
    <x v="0"/>
    <x v="0"/>
    <x v="0"/>
    <x v="0"/>
    <x v="0"/>
    <x v="0"/>
    <x v="0"/>
    <x v="0"/>
    <x v="0"/>
    <x v="0"/>
    <x v="0"/>
    <x v="0"/>
    <x v="0"/>
    <x v="0"/>
    <x v="0"/>
    <x v="0"/>
    <x v="0"/>
    <x v="0"/>
    <x v="0"/>
    <m/>
    <m/>
    <m/>
    <m/>
  </r>
  <r>
    <m/>
    <x v="0"/>
    <x v="0"/>
    <x v="1"/>
    <n v="3"/>
    <n v="2"/>
    <n v="4"/>
    <x v="0"/>
    <n v="5"/>
    <x v="0"/>
    <n v="2"/>
    <n v="4"/>
    <n v="4"/>
    <n v="4"/>
    <n v="4"/>
    <n v="5"/>
    <n v="3"/>
    <n v="5"/>
    <n v="1"/>
    <n v="5"/>
    <n v="1"/>
    <n v="4"/>
    <x v="0"/>
    <x v="0"/>
    <x v="0"/>
    <n v="5"/>
    <n v="4"/>
    <x v="0"/>
    <n v="1"/>
    <n v="2"/>
    <n v="1"/>
    <n v="5"/>
    <n v="1"/>
    <n v="3"/>
    <x v="1"/>
    <x v="0"/>
    <x v="0"/>
    <x v="0"/>
    <x v="0"/>
    <x v="0"/>
    <x v="0"/>
    <x v="0"/>
    <x v="0"/>
    <x v="0"/>
    <x v="0"/>
    <x v="0"/>
    <x v="0"/>
    <x v="0"/>
    <x v="0"/>
    <x v="0"/>
    <x v="0"/>
    <x v="0"/>
    <x v="0"/>
    <x v="0"/>
    <x v="0"/>
    <x v="0"/>
    <m/>
    <m/>
    <m/>
    <m/>
  </r>
  <r>
    <m/>
    <x v="0"/>
    <x v="0"/>
    <x v="1"/>
    <n v="3"/>
    <n v="3"/>
    <n v="3"/>
    <x v="0"/>
    <n v="3"/>
    <x v="1"/>
    <n v="2"/>
    <n v="4"/>
    <n v="4"/>
    <n v="4"/>
    <n v="4"/>
    <n v="4"/>
    <n v="4"/>
    <n v="3"/>
    <n v="1"/>
    <n v="4"/>
    <n v="1"/>
    <n v="3"/>
    <x v="0"/>
    <x v="0"/>
    <x v="0"/>
    <n v="4"/>
    <n v="2"/>
    <x v="0"/>
    <n v="2"/>
    <n v="3"/>
    <n v="3"/>
    <n v="3"/>
    <n v="2"/>
    <n v="1"/>
    <x v="0"/>
    <x v="3"/>
    <x v="0"/>
    <x v="0"/>
    <x v="0"/>
    <x v="0"/>
    <x v="0"/>
    <x v="0"/>
    <x v="0"/>
    <x v="0"/>
    <x v="0"/>
    <x v="0"/>
    <x v="0"/>
    <x v="0"/>
    <x v="0"/>
    <x v="0"/>
    <x v="0"/>
    <x v="0"/>
    <x v="0"/>
    <x v="0"/>
    <x v="0"/>
    <x v="0"/>
    <m/>
    <m/>
    <m/>
    <m/>
  </r>
  <r>
    <m/>
    <x v="0"/>
    <x v="0"/>
    <x v="0"/>
    <n v="3"/>
    <n v="3"/>
    <n v="3"/>
    <x v="1"/>
    <n v="3"/>
    <x v="2"/>
    <n v="3"/>
    <n v="3"/>
    <n v="3"/>
    <n v="3"/>
    <n v="3"/>
    <n v="3"/>
    <n v="3"/>
    <n v="3"/>
    <n v="2"/>
    <n v="3"/>
    <n v="3"/>
    <n v="3"/>
    <x v="3"/>
    <x v="1"/>
    <x v="1"/>
    <n v="3"/>
    <n v="3"/>
    <x v="1"/>
    <n v="2"/>
    <n v="2"/>
    <n v="2"/>
    <n v="3"/>
    <n v="2"/>
    <n v="3"/>
    <x v="1"/>
    <x v="2"/>
    <x v="0"/>
    <x v="0"/>
    <x v="0"/>
    <x v="0"/>
    <x v="0"/>
    <x v="0"/>
    <x v="0"/>
    <x v="0"/>
    <x v="0"/>
    <x v="0"/>
    <x v="0"/>
    <x v="0"/>
    <x v="0"/>
    <x v="0"/>
    <x v="0"/>
    <x v="0"/>
    <x v="0"/>
    <x v="0"/>
    <x v="0"/>
    <x v="0"/>
    <m/>
    <m/>
    <m/>
    <m/>
  </r>
  <r>
    <m/>
    <x v="0"/>
    <x v="0"/>
    <x v="1"/>
    <n v="3"/>
    <n v="3"/>
    <n v="3"/>
    <x v="0"/>
    <n v="3"/>
    <x v="0"/>
    <n v="3"/>
    <n v="4"/>
    <n v="3"/>
    <n v="4"/>
    <n v="4"/>
    <n v="2"/>
    <n v="3"/>
    <n v="3"/>
    <n v="2"/>
    <n v="4"/>
    <n v="2"/>
    <n v="3"/>
    <x v="0"/>
    <x v="0"/>
    <x v="0"/>
    <n v="5"/>
    <n v="5"/>
    <x v="0"/>
    <n v="1"/>
    <n v="1"/>
    <n v="2"/>
    <n v="1"/>
    <n v="1"/>
    <n v="3"/>
    <x v="1"/>
    <x v="1"/>
    <x v="0"/>
    <x v="0"/>
    <x v="0"/>
    <x v="0"/>
    <x v="0"/>
    <x v="0"/>
    <x v="0"/>
    <x v="0"/>
    <x v="0"/>
    <x v="0"/>
    <x v="0"/>
    <x v="0"/>
    <x v="0"/>
    <x v="0"/>
    <x v="0"/>
    <x v="0"/>
    <x v="0"/>
    <x v="0"/>
    <x v="0"/>
    <x v="0"/>
    <m/>
    <m/>
    <m/>
    <m/>
  </r>
  <r>
    <m/>
    <x v="0"/>
    <x v="0"/>
    <x v="1"/>
    <n v="3"/>
    <n v="3"/>
    <n v="3"/>
    <x v="1"/>
    <n v="5"/>
    <x v="3"/>
    <n v="3"/>
    <n v="2"/>
    <n v="2"/>
    <n v="3"/>
    <n v="5"/>
    <n v="3"/>
    <n v="1"/>
    <n v="4"/>
    <n v="5"/>
    <n v="5"/>
    <n v="2"/>
    <n v="3"/>
    <x v="0"/>
    <x v="0"/>
    <x v="0"/>
    <n v="5"/>
    <n v="3"/>
    <x v="0"/>
    <n v="4"/>
    <n v="4"/>
    <n v="2"/>
    <n v="4"/>
    <n v="4"/>
    <n v="5"/>
    <x v="0"/>
    <x v="1"/>
    <x v="0"/>
    <x v="0"/>
    <x v="0"/>
    <x v="0"/>
    <x v="0"/>
    <x v="0"/>
    <x v="0"/>
    <x v="0"/>
    <x v="0"/>
    <x v="0"/>
    <x v="0"/>
    <x v="0"/>
    <x v="0"/>
    <x v="0"/>
    <x v="0"/>
    <x v="0"/>
    <x v="0"/>
    <x v="0"/>
    <x v="0"/>
    <x v="0"/>
    <m/>
    <m/>
    <m/>
    <m/>
  </r>
  <r>
    <m/>
    <x v="0"/>
    <x v="0"/>
    <x v="0"/>
    <n v="4"/>
    <n v="3"/>
    <n v="4"/>
    <x v="1"/>
    <n v="3"/>
    <x v="3"/>
    <n v="1"/>
    <n v="3"/>
    <n v="2"/>
    <n v="5"/>
    <n v="4"/>
    <n v="4"/>
    <n v="3"/>
    <n v="4"/>
    <n v="2"/>
    <n v="9"/>
    <n v="3"/>
    <n v="3"/>
    <x v="0"/>
    <x v="0"/>
    <x v="0"/>
    <n v="4"/>
    <n v="3"/>
    <x v="0"/>
    <n v="1"/>
    <n v="2"/>
    <n v="2"/>
    <n v="3"/>
    <n v="1"/>
    <n v="4"/>
    <x v="0"/>
    <x v="0"/>
    <x v="0"/>
    <x v="0"/>
    <x v="0"/>
    <x v="0"/>
    <x v="0"/>
    <x v="0"/>
    <x v="0"/>
    <x v="0"/>
    <x v="0"/>
    <x v="0"/>
    <x v="0"/>
    <x v="0"/>
    <x v="0"/>
    <x v="0"/>
    <x v="0"/>
    <x v="0"/>
    <x v="0"/>
    <x v="0"/>
    <x v="0"/>
    <x v="0"/>
    <m/>
    <m/>
    <m/>
    <m/>
  </r>
  <r>
    <m/>
    <x v="0"/>
    <x v="0"/>
    <x v="0"/>
    <n v="3"/>
    <n v="3"/>
    <n v="3"/>
    <x v="0"/>
    <n v="3"/>
    <x v="2"/>
    <n v="2"/>
    <n v="3"/>
    <n v="2"/>
    <n v="3"/>
    <n v="3"/>
    <n v="4"/>
    <n v="3"/>
    <n v="2"/>
    <n v="2"/>
    <n v="2"/>
    <n v="3"/>
    <n v="3"/>
    <x v="2"/>
    <x v="1"/>
    <x v="2"/>
    <n v="3"/>
    <n v="3"/>
    <x v="1"/>
    <n v="2"/>
    <n v="2"/>
    <n v="3"/>
    <n v="3"/>
    <n v="2"/>
    <n v="3"/>
    <x v="2"/>
    <x v="2"/>
    <x v="0"/>
    <x v="0"/>
    <x v="0"/>
    <x v="0"/>
    <x v="0"/>
    <x v="0"/>
    <x v="0"/>
    <x v="0"/>
    <x v="0"/>
    <x v="0"/>
    <x v="0"/>
    <x v="0"/>
    <x v="0"/>
    <x v="0"/>
    <x v="0"/>
    <x v="0"/>
    <x v="0"/>
    <x v="0"/>
    <x v="0"/>
    <x v="0"/>
    <m/>
    <m/>
    <m/>
    <m/>
  </r>
  <r>
    <m/>
    <x v="0"/>
    <x v="0"/>
    <x v="1"/>
    <n v="4"/>
    <n v="3"/>
    <n v="3"/>
    <x v="0"/>
    <n v="4"/>
    <x v="2"/>
    <n v="2"/>
    <n v="3"/>
    <n v="3"/>
    <n v="3"/>
    <n v="4"/>
    <n v="4"/>
    <n v="3"/>
    <n v="4"/>
    <n v="3"/>
    <n v="4"/>
    <n v="1"/>
    <n v="3"/>
    <x v="0"/>
    <x v="0"/>
    <x v="0"/>
    <n v="4"/>
    <n v="4"/>
    <x v="0"/>
    <n v="3"/>
    <n v="3"/>
    <n v="3"/>
    <n v="4"/>
    <n v="4"/>
    <n v="3"/>
    <x v="0"/>
    <x v="2"/>
    <x v="0"/>
    <x v="0"/>
    <x v="0"/>
    <x v="0"/>
    <x v="0"/>
    <x v="0"/>
    <x v="0"/>
    <x v="0"/>
    <x v="0"/>
    <x v="0"/>
    <x v="0"/>
    <x v="0"/>
    <x v="0"/>
    <x v="0"/>
    <x v="0"/>
    <x v="0"/>
    <x v="0"/>
    <x v="0"/>
    <x v="0"/>
    <x v="0"/>
    <m/>
    <m/>
    <m/>
    <m/>
  </r>
  <r>
    <m/>
    <x v="0"/>
    <x v="0"/>
    <x v="0"/>
    <n v="4"/>
    <n v="3"/>
    <n v="3"/>
    <x v="0"/>
    <n v="3"/>
    <x v="0"/>
    <n v="3"/>
    <n v="3"/>
    <n v="5"/>
    <n v="3"/>
    <n v="3"/>
    <n v="3"/>
    <n v="2"/>
    <n v="3"/>
    <n v="4"/>
    <n v="3"/>
    <n v="2"/>
    <n v="3"/>
    <x v="0"/>
    <x v="0"/>
    <x v="0"/>
    <n v="3"/>
    <n v="3"/>
    <x v="0"/>
    <n v="3"/>
    <n v="4"/>
    <n v="4"/>
    <n v="3"/>
    <n v="3"/>
    <n v="3"/>
    <x v="0"/>
    <x v="0"/>
    <x v="0"/>
    <x v="0"/>
    <x v="0"/>
    <x v="0"/>
    <x v="0"/>
    <x v="0"/>
    <x v="0"/>
    <x v="0"/>
    <x v="0"/>
    <x v="0"/>
    <x v="0"/>
    <x v="0"/>
    <x v="0"/>
    <x v="0"/>
    <x v="0"/>
    <x v="0"/>
    <x v="0"/>
    <x v="0"/>
    <x v="0"/>
    <x v="0"/>
    <m/>
    <m/>
    <m/>
    <m/>
  </r>
  <r>
    <m/>
    <x v="0"/>
    <x v="0"/>
    <x v="1"/>
    <n v="4"/>
    <n v="3"/>
    <n v="3"/>
    <x v="0"/>
    <n v="4"/>
    <x v="2"/>
    <n v="5"/>
    <n v="4"/>
    <n v="5"/>
    <n v="4"/>
    <n v="4"/>
    <n v="4"/>
    <n v="3"/>
    <n v="4"/>
    <n v="4"/>
    <n v="3"/>
    <n v="1"/>
    <n v="4"/>
    <x v="0"/>
    <x v="0"/>
    <x v="0"/>
    <n v="4"/>
    <n v="3"/>
    <x v="0"/>
    <n v="3"/>
    <n v="4"/>
    <n v="4"/>
    <n v="4"/>
    <n v="4"/>
    <n v="4"/>
    <x v="0"/>
    <x v="2"/>
    <x v="0"/>
    <x v="0"/>
    <x v="0"/>
    <x v="0"/>
    <x v="0"/>
    <x v="0"/>
    <x v="0"/>
    <x v="0"/>
    <x v="0"/>
    <x v="0"/>
    <x v="0"/>
    <x v="0"/>
    <x v="0"/>
    <x v="0"/>
    <x v="0"/>
    <x v="0"/>
    <x v="0"/>
    <x v="0"/>
    <x v="0"/>
    <x v="0"/>
    <m/>
    <m/>
    <m/>
    <m/>
  </r>
  <r>
    <m/>
    <x v="0"/>
    <x v="0"/>
    <x v="1"/>
    <n v="3"/>
    <n v="3"/>
    <n v="4"/>
    <x v="0"/>
    <n v="5"/>
    <x v="1"/>
    <n v="4"/>
    <n v="4"/>
    <n v="3"/>
    <n v="3"/>
    <n v="4"/>
    <n v="3"/>
    <n v="2"/>
    <n v="4"/>
    <n v="2"/>
    <n v="2"/>
    <n v="2"/>
    <n v="4"/>
    <x v="0"/>
    <x v="0"/>
    <x v="0"/>
    <n v="3"/>
    <n v="3"/>
    <x v="0"/>
    <n v="1"/>
    <n v="3"/>
    <n v="3"/>
    <n v="4"/>
    <n v="4"/>
    <n v="4"/>
    <x v="0"/>
    <x v="2"/>
    <x v="0"/>
    <x v="0"/>
    <x v="0"/>
    <x v="0"/>
    <x v="0"/>
    <x v="0"/>
    <x v="0"/>
    <x v="0"/>
    <x v="0"/>
    <x v="0"/>
    <x v="0"/>
    <x v="0"/>
    <x v="0"/>
    <x v="0"/>
    <x v="0"/>
    <x v="0"/>
    <x v="0"/>
    <x v="0"/>
    <x v="0"/>
    <x v="0"/>
    <m/>
    <m/>
    <m/>
    <m/>
  </r>
  <r>
    <m/>
    <x v="0"/>
    <x v="0"/>
    <x v="0"/>
    <n v="4"/>
    <n v="3"/>
    <n v="5"/>
    <x v="1"/>
    <n v="5"/>
    <x v="3"/>
    <n v="5"/>
    <n v="4"/>
    <n v="1"/>
    <n v="4"/>
    <n v="4"/>
    <n v="4"/>
    <n v="5"/>
    <n v="3"/>
    <n v="5"/>
    <n v="4"/>
    <n v="9"/>
    <n v="4"/>
    <x v="0"/>
    <x v="0"/>
    <x v="2"/>
    <n v="4"/>
    <n v="5"/>
    <x v="0"/>
    <n v="1"/>
    <n v="1"/>
    <n v="5"/>
    <n v="5"/>
    <n v="5"/>
    <n v="5"/>
    <x v="3"/>
    <x v="3"/>
    <x v="0"/>
    <x v="0"/>
    <x v="0"/>
    <x v="0"/>
    <x v="0"/>
    <x v="0"/>
    <x v="0"/>
    <x v="0"/>
    <x v="0"/>
    <x v="0"/>
    <x v="0"/>
    <x v="0"/>
    <x v="0"/>
    <x v="0"/>
    <x v="0"/>
    <x v="0"/>
    <x v="0"/>
    <x v="0"/>
    <x v="0"/>
    <x v="0"/>
    <m/>
    <m/>
    <m/>
    <m/>
  </r>
  <r>
    <m/>
    <x v="0"/>
    <x v="0"/>
    <x v="1"/>
    <n v="4"/>
    <n v="3"/>
    <n v="4"/>
    <x v="0"/>
    <n v="4"/>
    <x v="0"/>
    <n v="4"/>
    <n v="4"/>
    <n v="3"/>
    <n v="4"/>
    <n v="4"/>
    <n v="4"/>
    <n v="3"/>
    <n v="5"/>
    <n v="4"/>
    <n v="4"/>
    <n v="1"/>
    <n v="4"/>
    <x v="0"/>
    <x v="0"/>
    <x v="1"/>
    <n v="5"/>
    <n v="4"/>
    <x v="0"/>
    <n v="3"/>
    <n v="5"/>
    <n v="3"/>
    <n v="5"/>
    <n v="5"/>
    <n v="4"/>
    <x v="0"/>
    <x v="0"/>
    <x v="0"/>
    <x v="0"/>
    <x v="0"/>
    <x v="0"/>
    <x v="0"/>
    <x v="0"/>
    <x v="0"/>
    <x v="0"/>
    <x v="0"/>
    <x v="0"/>
    <x v="0"/>
    <x v="0"/>
    <x v="0"/>
    <x v="0"/>
    <x v="0"/>
    <x v="0"/>
    <x v="0"/>
    <x v="0"/>
    <x v="0"/>
    <x v="0"/>
    <m/>
    <m/>
    <m/>
    <m/>
  </r>
  <r>
    <m/>
    <x v="0"/>
    <x v="1"/>
    <x v="1"/>
    <n v="3"/>
    <n v="4"/>
    <n v="4"/>
    <x v="1"/>
    <n v="5"/>
    <x v="2"/>
    <n v="2"/>
    <n v="3"/>
    <n v="4"/>
    <n v="4"/>
    <n v="4"/>
    <n v="4"/>
    <n v="3"/>
    <n v="4"/>
    <n v="5"/>
    <n v="4"/>
    <n v="5"/>
    <n v="4"/>
    <x v="3"/>
    <x v="1"/>
    <x v="0"/>
    <n v="3"/>
    <n v="5"/>
    <x v="0"/>
    <n v="3"/>
    <n v="3"/>
    <n v="4"/>
    <n v="4"/>
    <n v="3"/>
    <n v="4"/>
    <x v="0"/>
    <x v="3"/>
    <x v="0"/>
    <x v="0"/>
    <x v="0"/>
    <x v="0"/>
    <x v="0"/>
    <x v="0"/>
    <x v="0"/>
    <x v="0"/>
    <x v="0"/>
    <x v="0"/>
    <x v="0"/>
    <x v="0"/>
    <x v="0"/>
    <x v="0"/>
    <x v="0"/>
    <x v="0"/>
    <x v="0"/>
    <x v="0"/>
    <x v="0"/>
    <x v="0"/>
    <m/>
    <m/>
    <m/>
    <m/>
  </r>
  <r>
    <m/>
    <x v="0"/>
    <x v="1"/>
    <x v="1"/>
    <n v="3"/>
    <n v="4"/>
    <n v="4"/>
    <x v="1"/>
    <n v="3"/>
    <x v="0"/>
    <n v="1"/>
    <n v="4"/>
    <n v="4"/>
    <n v="4"/>
    <n v="4"/>
    <n v="4"/>
    <n v="4"/>
    <n v="4"/>
    <n v="4"/>
    <n v="4"/>
    <n v="3"/>
    <n v="4"/>
    <x v="0"/>
    <x v="0"/>
    <x v="0"/>
    <n v="4"/>
    <n v="3"/>
    <x v="1"/>
    <n v="3"/>
    <n v="4"/>
    <n v="3"/>
    <n v="4"/>
    <n v="4"/>
    <n v="4"/>
    <x v="0"/>
    <x v="0"/>
    <x v="0"/>
    <x v="0"/>
    <x v="0"/>
    <x v="0"/>
    <x v="0"/>
    <x v="0"/>
    <x v="0"/>
    <x v="0"/>
    <x v="0"/>
    <x v="0"/>
    <x v="0"/>
    <x v="0"/>
    <x v="0"/>
    <x v="0"/>
    <x v="0"/>
    <x v="0"/>
    <x v="0"/>
    <x v="0"/>
    <x v="0"/>
    <x v="0"/>
    <m/>
    <m/>
    <m/>
    <m/>
  </r>
  <r>
    <m/>
    <x v="0"/>
    <x v="1"/>
    <x v="1"/>
    <n v="4"/>
    <n v="4"/>
    <n v="4"/>
    <x v="0"/>
    <n v="4"/>
    <x v="0"/>
    <n v="1"/>
    <n v="4"/>
    <n v="4"/>
    <n v="4"/>
    <n v="4"/>
    <n v="4"/>
    <n v="4"/>
    <n v="4"/>
    <n v="4"/>
    <n v="4"/>
    <n v="1"/>
    <n v="4"/>
    <x v="0"/>
    <x v="0"/>
    <x v="0"/>
    <n v="4"/>
    <n v="4"/>
    <x v="0"/>
    <n v="4"/>
    <n v="4"/>
    <n v="4"/>
    <n v="4"/>
    <n v="4"/>
    <n v="4"/>
    <x v="0"/>
    <x v="0"/>
    <x v="0"/>
    <x v="0"/>
    <x v="0"/>
    <x v="0"/>
    <x v="0"/>
    <x v="0"/>
    <x v="0"/>
    <x v="0"/>
    <x v="0"/>
    <x v="0"/>
    <x v="0"/>
    <x v="0"/>
    <x v="0"/>
    <x v="0"/>
    <x v="0"/>
    <x v="0"/>
    <x v="0"/>
    <x v="0"/>
    <x v="0"/>
    <x v="0"/>
    <m/>
    <m/>
    <m/>
    <m/>
  </r>
  <r>
    <m/>
    <x v="0"/>
    <x v="1"/>
    <x v="1"/>
    <n v="4"/>
    <n v="3"/>
    <n v="3"/>
    <x v="0"/>
    <n v="4"/>
    <x v="2"/>
    <n v="2"/>
    <n v="4"/>
    <n v="4"/>
    <n v="4"/>
    <n v="4"/>
    <n v="3"/>
    <n v="2"/>
    <n v="2"/>
    <n v="4"/>
    <n v="3"/>
    <n v="4"/>
    <n v="3"/>
    <x v="0"/>
    <x v="0"/>
    <x v="0"/>
    <n v="4"/>
    <n v="4"/>
    <x v="0"/>
    <n v="3"/>
    <n v="3"/>
    <n v="4"/>
    <n v="4"/>
    <n v="3"/>
    <n v="4"/>
    <x v="0"/>
    <x v="0"/>
    <x v="0"/>
    <x v="0"/>
    <x v="0"/>
    <x v="0"/>
    <x v="0"/>
    <x v="0"/>
    <x v="0"/>
    <x v="0"/>
    <x v="0"/>
    <x v="0"/>
    <x v="0"/>
    <x v="0"/>
    <x v="0"/>
    <x v="0"/>
    <x v="0"/>
    <x v="0"/>
    <x v="0"/>
    <x v="0"/>
    <x v="0"/>
    <x v="0"/>
    <m/>
    <m/>
    <m/>
    <m/>
  </r>
  <r>
    <m/>
    <x v="0"/>
    <x v="1"/>
    <x v="1"/>
    <n v="4"/>
    <n v="4"/>
    <n v="4"/>
    <x v="0"/>
    <n v="4"/>
    <x v="2"/>
    <n v="1"/>
    <n v="3"/>
    <n v="4"/>
    <n v="4"/>
    <n v="4"/>
    <n v="3"/>
    <n v="4"/>
    <n v="3"/>
    <n v="3"/>
    <n v="4"/>
    <n v="3"/>
    <n v="4"/>
    <x v="0"/>
    <x v="0"/>
    <x v="0"/>
    <n v="4"/>
    <n v="3"/>
    <x v="1"/>
    <n v="3"/>
    <n v="4"/>
    <n v="4"/>
    <n v="4"/>
    <n v="3"/>
    <n v="4"/>
    <x v="0"/>
    <x v="2"/>
    <x v="0"/>
    <x v="0"/>
    <x v="0"/>
    <x v="0"/>
    <x v="0"/>
    <x v="0"/>
    <x v="0"/>
    <x v="0"/>
    <x v="0"/>
    <x v="0"/>
    <x v="0"/>
    <x v="0"/>
    <x v="0"/>
    <x v="0"/>
    <x v="0"/>
    <x v="0"/>
    <x v="0"/>
    <x v="0"/>
    <x v="0"/>
    <x v="0"/>
    <m/>
    <m/>
    <m/>
    <m/>
  </r>
  <r>
    <m/>
    <x v="0"/>
    <x v="1"/>
    <x v="1"/>
    <n v="3"/>
    <n v="4"/>
    <n v="3"/>
    <x v="1"/>
    <n v="3"/>
    <x v="3"/>
    <n v="2"/>
    <n v="4"/>
    <n v="4"/>
    <n v="4"/>
    <n v="4"/>
    <n v="4"/>
    <n v="3"/>
    <n v="3"/>
    <n v="4"/>
    <n v="4"/>
    <n v="4"/>
    <n v="3"/>
    <x v="0"/>
    <x v="0"/>
    <x v="0"/>
    <n v="3"/>
    <n v="3"/>
    <x v="0"/>
    <n v="2"/>
    <n v="3"/>
    <n v="3"/>
    <n v="3"/>
    <n v="3"/>
    <n v="4"/>
    <x v="0"/>
    <x v="0"/>
    <x v="0"/>
    <x v="0"/>
    <x v="0"/>
    <x v="0"/>
    <x v="0"/>
    <x v="0"/>
    <x v="0"/>
    <x v="0"/>
    <x v="0"/>
    <x v="0"/>
    <x v="0"/>
    <x v="0"/>
    <x v="0"/>
    <x v="0"/>
    <x v="0"/>
    <x v="0"/>
    <x v="0"/>
    <x v="0"/>
    <x v="0"/>
    <x v="0"/>
    <m/>
    <m/>
    <m/>
    <m/>
  </r>
  <r>
    <m/>
    <x v="0"/>
    <x v="1"/>
    <x v="1"/>
    <n v="4"/>
    <n v="4"/>
    <n v="4"/>
    <x v="0"/>
    <n v="4"/>
    <x v="0"/>
    <n v="2"/>
    <n v="4"/>
    <n v="4"/>
    <n v="4"/>
    <n v="4"/>
    <n v="4"/>
    <n v="3"/>
    <n v="3"/>
    <n v="4"/>
    <n v="4"/>
    <n v="2"/>
    <n v="4"/>
    <x v="0"/>
    <x v="0"/>
    <x v="0"/>
    <n v="4"/>
    <n v="4"/>
    <x v="0"/>
    <n v="3"/>
    <n v="3"/>
    <n v="4"/>
    <n v="4"/>
    <n v="4"/>
    <n v="4"/>
    <x v="0"/>
    <x v="0"/>
    <x v="0"/>
    <x v="0"/>
    <x v="0"/>
    <x v="0"/>
    <x v="0"/>
    <x v="0"/>
    <x v="0"/>
    <x v="0"/>
    <x v="0"/>
    <x v="0"/>
    <x v="0"/>
    <x v="0"/>
    <x v="0"/>
    <x v="0"/>
    <x v="0"/>
    <x v="0"/>
    <x v="0"/>
    <x v="0"/>
    <x v="0"/>
    <x v="0"/>
    <m/>
    <m/>
    <m/>
    <m/>
  </r>
  <r>
    <m/>
    <x v="0"/>
    <x v="1"/>
    <x v="1"/>
    <n v="3"/>
    <n v="4"/>
    <n v="3"/>
    <x v="0"/>
    <n v="3"/>
    <x v="2"/>
    <n v="1"/>
    <n v="3"/>
    <n v="3"/>
    <n v="3"/>
    <n v="3"/>
    <n v="3"/>
    <n v="3"/>
    <n v="3"/>
    <n v="3"/>
    <n v="4"/>
    <n v="2"/>
    <n v="9"/>
    <x v="2"/>
    <x v="2"/>
    <x v="0"/>
    <n v="4"/>
    <n v="4"/>
    <x v="1"/>
    <n v="3"/>
    <n v="3"/>
    <n v="4"/>
    <n v="4"/>
    <n v="4"/>
    <n v="3"/>
    <x v="0"/>
    <x v="0"/>
    <x v="0"/>
    <x v="0"/>
    <x v="0"/>
    <x v="0"/>
    <x v="0"/>
    <x v="0"/>
    <x v="0"/>
    <x v="0"/>
    <x v="0"/>
    <x v="0"/>
    <x v="0"/>
    <x v="0"/>
    <x v="0"/>
    <x v="0"/>
    <x v="0"/>
    <x v="0"/>
    <x v="0"/>
    <x v="0"/>
    <x v="0"/>
    <x v="0"/>
    <m/>
    <m/>
    <m/>
    <m/>
  </r>
  <r>
    <m/>
    <x v="0"/>
    <x v="1"/>
    <x v="1"/>
    <n v="4"/>
    <n v="4"/>
    <n v="4"/>
    <x v="0"/>
    <n v="4"/>
    <x v="0"/>
    <n v="4"/>
    <n v="4"/>
    <n v="4"/>
    <n v="4"/>
    <n v="4"/>
    <n v="4"/>
    <n v="4"/>
    <n v="4"/>
    <n v="4"/>
    <n v="4"/>
    <n v="1"/>
    <n v="4"/>
    <x v="0"/>
    <x v="0"/>
    <x v="0"/>
    <n v="4"/>
    <n v="4"/>
    <x v="0"/>
    <n v="4"/>
    <n v="4"/>
    <n v="4"/>
    <n v="4"/>
    <n v="4"/>
    <n v="4"/>
    <x v="0"/>
    <x v="0"/>
    <x v="0"/>
    <x v="0"/>
    <x v="0"/>
    <x v="0"/>
    <x v="0"/>
    <x v="0"/>
    <x v="0"/>
    <x v="0"/>
    <x v="0"/>
    <x v="0"/>
    <x v="0"/>
    <x v="0"/>
    <x v="0"/>
    <x v="0"/>
    <x v="0"/>
    <x v="0"/>
    <x v="0"/>
    <x v="0"/>
    <x v="0"/>
    <x v="0"/>
    <m/>
    <m/>
    <m/>
    <m/>
  </r>
  <r>
    <m/>
    <x v="0"/>
    <x v="1"/>
    <x v="1"/>
    <n v="3"/>
    <n v="3"/>
    <n v="3"/>
    <x v="1"/>
    <n v="3"/>
    <x v="0"/>
    <n v="3"/>
    <n v="3"/>
    <n v="4"/>
    <n v="3"/>
    <n v="4"/>
    <n v="4"/>
    <n v="4"/>
    <n v="4"/>
    <n v="4"/>
    <n v="4"/>
    <n v="1"/>
    <n v="4"/>
    <x v="0"/>
    <x v="0"/>
    <x v="0"/>
    <n v="4"/>
    <n v="4"/>
    <x v="0"/>
    <n v="3"/>
    <n v="4"/>
    <n v="4"/>
    <n v="4"/>
    <n v="4"/>
    <n v="4"/>
    <x v="1"/>
    <x v="2"/>
    <x v="0"/>
    <x v="0"/>
    <x v="0"/>
    <x v="0"/>
    <x v="0"/>
    <x v="0"/>
    <x v="0"/>
    <x v="0"/>
    <x v="0"/>
    <x v="0"/>
    <x v="0"/>
    <x v="0"/>
    <x v="0"/>
    <x v="0"/>
    <x v="0"/>
    <x v="0"/>
    <x v="0"/>
    <x v="0"/>
    <x v="0"/>
    <x v="0"/>
    <m/>
    <m/>
    <m/>
    <m/>
  </r>
  <r>
    <m/>
    <x v="0"/>
    <x v="1"/>
    <x v="1"/>
    <n v="3"/>
    <n v="3"/>
    <n v="4"/>
    <x v="0"/>
    <n v="4"/>
    <x v="0"/>
    <n v="2"/>
    <n v="4"/>
    <n v="4"/>
    <n v="4"/>
    <n v="4"/>
    <n v="4"/>
    <n v="3"/>
    <n v="3"/>
    <n v="5"/>
    <n v="4"/>
    <n v="2"/>
    <n v="4"/>
    <x v="0"/>
    <x v="0"/>
    <x v="0"/>
    <n v="4"/>
    <n v="4"/>
    <x v="0"/>
    <n v="5"/>
    <n v="1"/>
    <n v="4"/>
    <n v="3"/>
    <n v="5"/>
    <n v="3"/>
    <x v="0"/>
    <x v="0"/>
    <x v="0"/>
    <x v="0"/>
    <x v="0"/>
    <x v="0"/>
    <x v="0"/>
    <x v="0"/>
    <x v="0"/>
    <x v="0"/>
    <x v="0"/>
    <x v="0"/>
    <x v="0"/>
    <x v="0"/>
    <x v="0"/>
    <x v="0"/>
    <x v="0"/>
    <x v="0"/>
    <x v="0"/>
    <x v="0"/>
    <x v="0"/>
    <x v="0"/>
    <m/>
    <m/>
    <m/>
    <m/>
  </r>
  <r>
    <m/>
    <x v="0"/>
    <x v="1"/>
    <x v="1"/>
    <n v="4"/>
    <n v="4"/>
    <n v="4"/>
    <x v="0"/>
    <n v="4"/>
    <x v="0"/>
    <n v="1"/>
    <n v="4"/>
    <n v="4"/>
    <n v="4"/>
    <n v="4"/>
    <n v="4"/>
    <n v="3"/>
    <n v="3"/>
    <n v="4"/>
    <n v="4"/>
    <n v="2"/>
    <n v="4"/>
    <x v="0"/>
    <x v="0"/>
    <x v="0"/>
    <n v="4"/>
    <n v="4"/>
    <x v="0"/>
    <n v="3"/>
    <n v="3"/>
    <n v="3"/>
    <n v="4"/>
    <n v="3"/>
    <n v="4"/>
    <x v="0"/>
    <x v="2"/>
    <x v="0"/>
    <x v="0"/>
    <x v="0"/>
    <x v="0"/>
    <x v="0"/>
    <x v="0"/>
    <x v="0"/>
    <x v="0"/>
    <x v="0"/>
    <x v="0"/>
    <x v="0"/>
    <x v="0"/>
    <x v="0"/>
    <x v="0"/>
    <x v="0"/>
    <x v="0"/>
    <x v="0"/>
    <x v="0"/>
    <x v="0"/>
    <x v="0"/>
    <m/>
    <m/>
    <m/>
    <m/>
  </r>
  <r>
    <m/>
    <x v="0"/>
    <x v="2"/>
    <x v="1"/>
    <n v="3"/>
    <n v="3"/>
    <n v="3"/>
    <x v="0"/>
    <n v="3"/>
    <x v="2"/>
    <n v="2"/>
    <n v="3"/>
    <n v="4"/>
    <n v="4"/>
    <n v="4"/>
    <n v="4"/>
    <n v="2"/>
    <n v="3"/>
    <n v="1"/>
    <n v="5"/>
    <n v="1"/>
    <n v="4"/>
    <x v="0"/>
    <x v="0"/>
    <x v="0"/>
    <n v="3"/>
    <n v="3"/>
    <x v="1"/>
    <n v="5"/>
    <n v="5"/>
    <n v="5"/>
    <n v="5"/>
    <n v="1"/>
    <n v="3"/>
    <x v="1"/>
    <x v="3"/>
    <x v="0"/>
    <x v="0"/>
    <x v="0"/>
    <x v="0"/>
    <x v="0"/>
    <x v="0"/>
    <x v="0"/>
    <x v="0"/>
    <x v="0"/>
    <x v="0"/>
    <x v="0"/>
    <x v="0"/>
    <x v="0"/>
    <x v="0"/>
    <x v="0"/>
    <x v="0"/>
    <x v="0"/>
    <x v="0"/>
    <x v="0"/>
    <x v="0"/>
    <m/>
    <m/>
    <m/>
    <m/>
  </r>
  <r>
    <m/>
    <x v="0"/>
    <x v="2"/>
    <x v="1"/>
    <n v="4"/>
    <n v="1"/>
    <n v="3"/>
    <x v="1"/>
    <n v="2"/>
    <x v="2"/>
    <n v="4"/>
    <n v="3"/>
    <n v="2"/>
    <n v="2"/>
    <n v="1"/>
    <n v="1"/>
    <n v="1"/>
    <n v="1"/>
    <n v="1"/>
    <n v="3"/>
    <n v="4"/>
    <n v="2"/>
    <x v="0"/>
    <x v="0"/>
    <x v="3"/>
    <n v="3"/>
    <n v="3"/>
    <x v="1"/>
    <n v="2"/>
    <n v="2"/>
    <n v="1"/>
    <n v="3"/>
    <n v="1"/>
    <n v="2"/>
    <x v="4"/>
    <x v="4"/>
    <x v="0"/>
    <x v="0"/>
    <x v="0"/>
    <x v="0"/>
    <x v="0"/>
    <x v="0"/>
    <x v="0"/>
    <x v="0"/>
    <x v="0"/>
    <x v="0"/>
    <x v="0"/>
    <x v="0"/>
    <x v="0"/>
    <x v="0"/>
    <x v="0"/>
    <x v="0"/>
    <x v="0"/>
    <x v="0"/>
    <x v="0"/>
    <x v="0"/>
    <m/>
    <m/>
    <m/>
    <m/>
  </r>
  <r>
    <m/>
    <x v="0"/>
    <x v="2"/>
    <x v="1"/>
    <n v="3"/>
    <n v="3"/>
    <n v="2"/>
    <x v="2"/>
    <n v="4"/>
    <x v="2"/>
    <n v="2"/>
    <n v="3"/>
    <n v="5"/>
    <n v="5"/>
    <n v="2"/>
    <n v="5"/>
    <n v="2"/>
    <n v="5"/>
    <n v="1"/>
    <n v="5"/>
    <n v="5"/>
    <n v="5"/>
    <x v="0"/>
    <x v="0"/>
    <x v="2"/>
    <n v="5"/>
    <n v="3"/>
    <x v="1"/>
    <n v="3"/>
    <n v="4"/>
    <n v="2"/>
    <n v="4"/>
    <n v="3"/>
    <n v="5"/>
    <x v="2"/>
    <x v="3"/>
    <x v="0"/>
    <x v="0"/>
    <x v="0"/>
    <x v="0"/>
    <x v="0"/>
    <x v="0"/>
    <x v="0"/>
    <x v="0"/>
    <x v="0"/>
    <x v="0"/>
    <x v="0"/>
    <x v="0"/>
    <x v="0"/>
    <x v="0"/>
    <x v="0"/>
    <x v="0"/>
    <x v="0"/>
    <x v="0"/>
    <x v="0"/>
    <x v="0"/>
    <m/>
    <m/>
    <m/>
    <m/>
  </r>
  <r>
    <m/>
    <x v="0"/>
    <x v="2"/>
    <x v="1"/>
    <n v="4"/>
    <n v="3"/>
    <n v="4"/>
    <x v="0"/>
    <n v="4"/>
    <x v="0"/>
    <n v="2"/>
    <n v="4"/>
    <n v="3"/>
    <n v="4"/>
    <n v="4"/>
    <n v="4"/>
    <n v="4"/>
    <n v="4"/>
    <n v="2"/>
    <n v="1"/>
    <n v="2"/>
    <n v="4"/>
    <x v="0"/>
    <x v="0"/>
    <x v="0"/>
    <n v="4"/>
    <n v="4"/>
    <x v="0"/>
    <n v="3"/>
    <n v="4"/>
    <n v="4"/>
    <n v="4"/>
    <n v="4"/>
    <n v="4"/>
    <x v="0"/>
    <x v="2"/>
    <x v="0"/>
    <x v="0"/>
    <x v="0"/>
    <x v="0"/>
    <x v="0"/>
    <x v="0"/>
    <x v="0"/>
    <x v="0"/>
    <x v="0"/>
    <x v="0"/>
    <x v="0"/>
    <x v="0"/>
    <x v="0"/>
    <x v="0"/>
    <x v="0"/>
    <x v="0"/>
    <x v="0"/>
    <x v="0"/>
    <x v="0"/>
    <x v="0"/>
    <m/>
    <m/>
    <m/>
    <m/>
  </r>
  <r>
    <m/>
    <x v="0"/>
    <x v="2"/>
    <x v="0"/>
    <n v="4"/>
    <n v="4"/>
    <n v="4"/>
    <x v="0"/>
    <n v="4"/>
    <x v="0"/>
    <n v="2"/>
    <n v="4"/>
    <n v="4"/>
    <n v="4"/>
    <n v="4"/>
    <n v="4"/>
    <n v="2"/>
    <n v="4"/>
    <n v="1"/>
    <n v="4"/>
    <n v="3"/>
    <n v="4"/>
    <x v="0"/>
    <x v="0"/>
    <x v="0"/>
    <n v="4"/>
    <n v="4"/>
    <x v="0"/>
    <n v="1"/>
    <n v="2"/>
    <n v="4"/>
    <n v="4"/>
    <n v="1"/>
    <n v="4"/>
    <x v="0"/>
    <x v="0"/>
    <x v="0"/>
    <x v="0"/>
    <x v="0"/>
    <x v="0"/>
    <x v="0"/>
    <x v="0"/>
    <x v="0"/>
    <x v="0"/>
    <x v="0"/>
    <x v="0"/>
    <x v="0"/>
    <x v="0"/>
    <x v="0"/>
    <x v="0"/>
    <x v="0"/>
    <x v="0"/>
    <x v="0"/>
    <x v="0"/>
    <x v="0"/>
    <x v="0"/>
    <m/>
    <m/>
    <m/>
    <m/>
  </r>
  <r>
    <m/>
    <x v="0"/>
    <x v="2"/>
    <x v="1"/>
    <n v="4"/>
    <n v="4"/>
    <n v="4"/>
    <x v="0"/>
    <n v="3"/>
    <x v="0"/>
    <n v="1"/>
    <n v="1"/>
    <n v="3"/>
    <n v="4"/>
    <n v="4"/>
    <n v="4"/>
    <n v="1"/>
    <n v="1"/>
    <n v="9"/>
    <n v="1"/>
    <n v="1"/>
    <n v="4"/>
    <x v="0"/>
    <x v="0"/>
    <x v="0"/>
    <n v="4"/>
    <n v="4"/>
    <x v="0"/>
    <n v="1"/>
    <n v="3"/>
    <n v="3"/>
    <n v="4"/>
    <n v="2"/>
    <n v="4"/>
    <x v="0"/>
    <x v="0"/>
    <x v="0"/>
    <x v="0"/>
    <x v="0"/>
    <x v="0"/>
    <x v="0"/>
    <x v="0"/>
    <x v="0"/>
    <x v="0"/>
    <x v="0"/>
    <x v="0"/>
    <x v="0"/>
    <x v="0"/>
    <x v="0"/>
    <x v="0"/>
    <x v="0"/>
    <x v="0"/>
    <x v="0"/>
    <x v="0"/>
    <x v="0"/>
    <x v="0"/>
    <m/>
    <m/>
    <m/>
    <m/>
  </r>
  <r>
    <m/>
    <x v="0"/>
    <x v="2"/>
    <x v="1"/>
    <n v="3"/>
    <n v="4"/>
    <n v="4"/>
    <x v="1"/>
    <n v="2"/>
    <x v="2"/>
    <n v="2"/>
    <n v="3"/>
    <n v="3"/>
    <n v="3"/>
    <n v="3"/>
    <n v="4"/>
    <n v="3"/>
    <n v="2"/>
    <n v="5"/>
    <n v="4"/>
    <n v="2"/>
    <n v="3"/>
    <x v="3"/>
    <x v="1"/>
    <x v="1"/>
    <n v="3"/>
    <n v="4"/>
    <x v="1"/>
    <n v="2"/>
    <n v="3"/>
    <n v="3"/>
    <n v="3"/>
    <n v="2"/>
    <n v="3"/>
    <x v="1"/>
    <x v="2"/>
    <x v="0"/>
    <x v="0"/>
    <x v="0"/>
    <x v="0"/>
    <x v="0"/>
    <x v="0"/>
    <x v="0"/>
    <x v="0"/>
    <x v="0"/>
    <x v="0"/>
    <x v="0"/>
    <x v="0"/>
    <x v="0"/>
    <x v="0"/>
    <x v="0"/>
    <x v="0"/>
    <x v="0"/>
    <x v="0"/>
    <x v="0"/>
    <x v="0"/>
    <m/>
    <m/>
    <m/>
    <m/>
  </r>
  <r>
    <m/>
    <x v="0"/>
    <x v="2"/>
    <x v="1"/>
    <n v="4"/>
    <n v="4"/>
    <n v="4"/>
    <x v="0"/>
    <n v="4"/>
    <x v="2"/>
    <n v="1"/>
    <n v="4"/>
    <n v="3"/>
    <n v="4"/>
    <n v="4"/>
    <n v="3"/>
    <n v="4"/>
    <n v="2"/>
    <n v="1"/>
    <n v="4"/>
    <n v="3"/>
    <n v="4"/>
    <x v="0"/>
    <x v="0"/>
    <x v="1"/>
    <n v="4"/>
    <n v="4"/>
    <x v="0"/>
    <n v="4"/>
    <n v="4"/>
    <n v="3"/>
    <n v="4"/>
    <n v="4"/>
    <n v="4"/>
    <x v="0"/>
    <x v="0"/>
    <x v="0"/>
    <x v="0"/>
    <x v="0"/>
    <x v="0"/>
    <x v="0"/>
    <x v="0"/>
    <x v="0"/>
    <x v="0"/>
    <x v="0"/>
    <x v="0"/>
    <x v="0"/>
    <x v="0"/>
    <x v="0"/>
    <x v="0"/>
    <x v="0"/>
    <x v="0"/>
    <x v="0"/>
    <x v="0"/>
    <x v="0"/>
    <x v="0"/>
    <m/>
    <m/>
    <m/>
    <m/>
  </r>
  <r>
    <m/>
    <x v="0"/>
    <x v="2"/>
    <x v="1"/>
    <n v="3"/>
    <n v="4"/>
    <n v="4"/>
    <x v="0"/>
    <n v="3"/>
    <x v="0"/>
    <n v="2"/>
    <n v="3"/>
    <n v="3"/>
    <n v="4"/>
    <n v="4"/>
    <n v="3"/>
    <n v="2"/>
    <n v="3"/>
    <n v="3"/>
    <n v="3"/>
    <n v="2"/>
    <n v="4"/>
    <x v="0"/>
    <x v="0"/>
    <x v="0"/>
    <n v="4"/>
    <n v="4"/>
    <x v="0"/>
    <n v="2"/>
    <n v="3"/>
    <n v="2"/>
    <n v="3"/>
    <n v="2"/>
    <n v="3"/>
    <x v="1"/>
    <x v="2"/>
    <x v="0"/>
    <x v="0"/>
    <x v="0"/>
    <x v="0"/>
    <x v="0"/>
    <x v="0"/>
    <x v="0"/>
    <x v="0"/>
    <x v="0"/>
    <x v="0"/>
    <x v="0"/>
    <x v="0"/>
    <x v="0"/>
    <x v="0"/>
    <x v="0"/>
    <x v="0"/>
    <x v="0"/>
    <x v="0"/>
    <x v="0"/>
    <x v="0"/>
    <m/>
    <m/>
    <m/>
    <m/>
  </r>
  <r>
    <m/>
    <x v="0"/>
    <x v="2"/>
    <x v="1"/>
    <n v="4"/>
    <n v="4"/>
    <n v="4"/>
    <x v="0"/>
    <n v="5"/>
    <x v="4"/>
    <n v="1"/>
    <n v="5"/>
    <n v="5"/>
    <n v="5"/>
    <n v="5"/>
    <n v="1"/>
    <n v="5"/>
    <n v="5"/>
    <n v="5"/>
    <n v="3"/>
    <n v="3"/>
    <n v="4"/>
    <x v="0"/>
    <x v="0"/>
    <x v="0"/>
    <n v="4"/>
    <n v="4"/>
    <x v="0"/>
    <n v="4"/>
    <n v="4"/>
    <n v="4"/>
    <n v="4"/>
    <n v="4"/>
    <n v="5"/>
    <x v="0"/>
    <x v="0"/>
    <x v="0"/>
    <x v="0"/>
    <x v="0"/>
    <x v="0"/>
    <x v="0"/>
    <x v="0"/>
    <x v="0"/>
    <x v="0"/>
    <x v="0"/>
    <x v="0"/>
    <x v="0"/>
    <x v="0"/>
    <x v="0"/>
    <x v="0"/>
    <x v="0"/>
    <x v="0"/>
    <x v="0"/>
    <x v="0"/>
    <x v="0"/>
    <x v="0"/>
    <m/>
    <m/>
    <m/>
    <m/>
  </r>
  <r>
    <m/>
    <x v="0"/>
    <x v="3"/>
    <x v="0"/>
    <n v="3"/>
    <n v="4"/>
    <n v="3"/>
    <x v="1"/>
    <n v="3"/>
    <x v="2"/>
    <n v="3"/>
    <n v="3"/>
    <n v="4"/>
    <n v="3"/>
    <n v="3"/>
    <n v="4"/>
    <n v="3"/>
    <n v="2"/>
    <n v="2"/>
    <n v="3"/>
    <n v="2"/>
    <n v="3"/>
    <x v="0"/>
    <x v="0"/>
    <x v="1"/>
    <n v="3"/>
    <n v="4"/>
    <x v="0"/>
    <n v="2"/>
    <n v="3"/>
    <n v="3"/>
    <n v="4"/>
    <n v="4"/>
    <n v="3"/>
    <x v="1"/>
    <x v="2"/>
    <x v="0"/>
    <x v="0"/>
    <x v="0"/>
    <x v="0"/>
    <x v="0"/>
    <x v="0"/>
    <x v="0"/>
    <x v="0"/>
    <x v="0"/>
    <x v="0"/>
    <x v="0"/>
    <x v="0"/>
    <x v="0"/>
    <x v="0"/>
    <x v="0"/>
    <x v="0"/>
    <x v="0"/>
    <x v="0"/>
    <x v="0"/>
    <x v="0"/>
    <m/>
    <m/>
    <m/>
    <m/>
  </r>
  <r>
    <m/>
    <x v="0"/>
    <x v="3"/>
    <x v="0"/>
    <n v="3"/>
    <n v="3"/>
    <n v="3"/>
    <x v="1"/>
    <n v="3"/>
    <x v="0"/>
    <n v="3"/>
    <n v="4"/>
    <n v="4"/>
    <n v="3"/>
    <n v="3"/>
    <n v="5"/>
    <n v="5"/>
    <n v="2"/>
    <n v="5"/>
    <n v="3"/>
    <n v="4"/>
    <n v="4"/>
    <x v="3"/>
    <x v="0"/>
    <x v="4"/>
    <n v="4"/>
    <n v="3"/>
    <x v="0"/>
    <n v="2"/>
    <n v="3"/>
    <n v="5"/>
    <n v="5"/>
    <n v="3"/>
    <n v="5"/>
    <x v="0"/>
    <x v="0"/>
    <x v="0"/>
    <x v="0"/>
    <x v="0"/>
    <x v="0"/>
    <x v="0"/>
    <x v="0"/>
    <x v="0"/>
    <x v="0"/>
    <x v="0"/>
    <x v="0"/>
    <x v="0"/>
    <x v="0"/>
    <x v="0"/>
    <x v="0"/>
    <x v="0"/>
    <x v="0"/>
    <x v="0"/>
    <x v="0"/>
    <x v="0"/>
    <x v="0"/>
    <m/>
    <m/>
    <m/>
    <m/>
  </r>
  <r>
    <m/>
    <x v="0"/>
    <x v="3"/>
    <x v="0"/>
    <n v="4"/>
    <n v="4"/>
    <n v="3"/>
    <x v="0"/>
    <n v="4"/>
    <x v="0"/>
    <n v="4"/>
    <n v="4"/>
    <n v="3"/>
    <n v="4"/>
    <n v="4"/>
    <n v="4"/>
    <n v="1"/>
    <n v="4"/>
    <n v="1"/>
    <n v="4"/>
    <n v="4"/>
    <n v="4"/>
    <x v="0"/>
    <x v="0"/>
    <x v="0"/>
    <n v="4"/>
    <n v="4"/>
    <x v="1"/>
    <n v="4"/>
    <n v="4"/>
    <n v="4"/>
    <n v="4"/>
    <n v="4"/>
    <n v="4"/>
    <x v="0"/>
    <x v="0"/>
    <x v="0"/>
    <x v="0"/>
    <x v="0"/>
    <x v="0"/>
    <x v="0"/>
    <x v="0"/>
    <x v="0"/>
    <x v="0"/>
    <x v="0"/>
    <x v="0"/>
    <x v="0"/>
    <x v="0"/>
    <x v="0"/>
    <x v="0"/>
    <x v="0"/>
    <x v="0"/>
    <x v="0"/>
    <x v="0"/>
    <x v="0"/>
    <x v="0"/>
    <m/>
    <m/>
    <m/>
    <m/>
  </r>
  <r>
    <m/>
    <x v="0"/>
    <x v="3"/>
    <x v="1"/>
    <n v="5"/>
    <n v="3"/>
    <n v="3"/>
    <x v="0"/>
    <n v="2"/>
    <x v="0"/>
    <n v="4"/>
    <n v="4"/>
    <n v="4"/>
    <n v="4"/>
    <n v="4"/>
    <n v="4"/>
    <n v="3"/>
    <n v="1"/>
    <n v="1"/>
    <n v="4"/>
    <n v="4"/>
    <n v="4"/>
    <x v="0"/>
    <x v="0"/>
    <x v="3"/>
    <n v="4"/>
    <n v="4"/>
    <x v="2"/>
    <n v="4"/>
    <n v="4"/>
    <n v="4"/>
    <n v="4"/>
    <n v="4"/>
    <n v="4"/>
    <x v="3"/>
    <x v="3"/>
    <x v="0"/>
    <x v="0"/>
    <x v="0"/>
    <x v="0"/>
    <x v="0"/>
    <x v="0"/>
    <x v="0"/>
    <x v="0"/>
    <x v="0"/>
    <x v="0"/>
    <x v="0"/>
    <x v="0"/>
    <x v="0"/>
    <x v="0"/>
    <x v="0"/>
    <x v="0"/>
    <x v="0"/>
    <x v="0"/>
    <x v="0"/>
    <x v="0"/>
    <m/>
    <m/>
    <m/>
    <m/>
  </r>
  <r>
    <m/>
    <x v="0"/>
    <x v="3"/>
    <x v="0"/>
    <n v="4"/>
    <n v="3"/>
    <n v="3"/>
    <x v="0"/>
    <n v="5"/>
    <x v="2"/>
    <n v="1"/>
    <n v="3"/>
    <n v="5"/>
    <n v="3"/>
    <n v="3"/>
    <n v="3"/>
    <n v="5"/>
    <n v="5"/>
    <n v="3"/>
    <n v="3"/>
    <n v="3"/>
    <n v="3"/>
    <x v="0"/>
    <x v="0"/>
    <x v="0"/>
    <n v="3"/>
    <n v="3"/>
    <x v="1"/>
    <n v="5"/>
    <n v="5"/>
    <n v="3"/>
    <n v="3"/>
    <n v="3"/>
    <n v="4"/>
    <x v="1"/>
    <x v="3"/>
    <x v="0"/>
    <x v="0"/>
    <x v="0"/>
    <x v="0"/>
    <x v="0"/>
    <x v="0"/>
    <x v="0"/>
    <x v="0"/>
    <x v="0"/>
    <x v="0"/>
    <x v="0"/>
    <x v="0"/>
    <x v="0"/>
    <x v="0"/>
    <x v="0"/>
    <x v="0"/>
    <x v="0"/>
    <x v="0"/>
    <x v="0"/>
    <x v="0"/>
    <m/>
    <m/>
    <m/>
    <m/>
  </r>
  <r>
    <m/>
    <x v="0"/>
    <x v="3"/>
    <x v="2"/>
    <n v="4"/>
    <n v="3"/>
    <n v="2"/>
    <x v="1"/>
    <n v="4"/>
    <x v="0"/>
    <n v="1"/>
    <n v="4"/>
    <n v="2"/>
    <n v="4"/>
    <n v="4"/>
    <n v="1"/>
    <n v="1"/>
    <n v="4"/>
    <n v="1"/>
    <n v="1"/>
    <n v="4"/>
    <n v="1"/>
    <x v="0"/>
    <x v="0"/>
    <x v="3"/>
    <n v="1"/>
    <n v="4"/>
    <x v="0"/>
    <n v="1"/>
    <n v="1"/>
    <n v="1"/>
    <n v="4"/>
    <n v="1"/>
    <n v="1"/>
    <x v="4"/>
    <x v="1"/>
    <x v="0"/>
    <x v="0"/>
    <x v="0"/>
    <x v="0"/>
    <x v="0"/>
    <x v="0"/>
    <x v="0"/>
    <x v="0"/>
    <x v="0"/>
    <x v="0"/>
    <x v="0"/>
    <x v="0"/>
    <x v="0"/>
    <x v="0"/>
    <x v="0"/>
    <x v="0"/>
    <x v="0"/>
    <x v="0"/>
    <x v="0"/>
    <x v="0"/>
    <m/>
    <m/>
    <m/>
    <m/>
  </r>
  <r>
    <m/>
    <x v="0"/>
    <x v="3"/>
    <x v="0"/>
    <n v="4"/>
    <n v="4"/>
    <n v="4"/>
    <x v="0"/>
    <n v="4"/>
    <x v="0"/>
    <n v="4"/>
    <n v="4"/>
    <n v="4"/>
    <n v="4"/>
    <n v="3"/>
    <n v="2"/>
    <n v="4"/>
    <n v="3"/>
    <n v="3"/>
    <n v="5"/>
    <n v="3"/>
    <n v="2"/>
    <x v="2"/>
    <x v="3"/>
    <x v="1"/>
    <n v="3"/>
    <n v="4"/>
    <x v="0"/>
    <n v="2"/>
    <n v="2"/>
    <n v="4"/>
    <n v="4"/>
    <n v="3"/>
    <n v="9"/>
    <x v="1"/>
    <x v="2"/>
    <x v="0"/>
    <x v="0"/>
    <x v="0"/>
    <x v="0"/>
    <x v="0"/>
    <x v="0"/>
    <x v="0"/>
    <x v="0"/>
    <x v="0"/>
    <x v="0"/>
    <x v="0"/>
    <x v="0"/>
    <x v="0"/>
    <x v="0"/>
    <x v="0"/>
    <x v="0"/>
    <x v="0"/>
    <x v="0"/>
    <x v="0"/>
    <x v="0"/>
    <m/>
    <m/>
    <m/>
    <m/>
  </r>
  <r>
    <m/>
    <x v="0"/>
    <x v="3"/>
    <x v="0"/>
    <n v="4"/>
    <n v="5"/>
    <n v="4"/>
    <x v="0"/>
    <n v="5"/>
    <x v="0"/>
    <n v="3"/>
    <n v="3"/>
    <n v="3"/>
    <n v="5"/>
    <n v="3"/>
    <n v="5"/>
    <n v="3"/>
    <n v="3"/>
    <n v="3"/>
    <n v="5"/>
    <n v="5"/>
    <n v="5"/>
    <x v="1"/>
    <x v="3"/>
    <x v="4"/>
    <n v="5"/>
    <n v="5"/>
    <x v="3"/>
    <n v="5"/>
    <n v="5"/>
    <n v="5"/>
    <n v="5"/>
    <n v="5"/>
    <n v="5"/>
    <x v="3"/>
    <x v="5"/>
    <x v="0"/>
    <x v="0"/>
    <x v="0"/>
    <x v="0"/>
    <x v="0"/>
    <x v="0"/>
    <x v="0"/>
    <x v="0"/>
    <x v="0"/>
    <x v="0"/>
    <x v="0"/>
    <x v="0"/>
    <x v="0"/>
    <x v="0"/>
    <x v="0"/>
    <x v="0"/>
    <x v="0"/>
    <x v="0"/>
    <x v="0"/>
    <x v="0"/>
    <m/>
    <m/>
    <m/>
    <m/>
  </r>
  <r>
    <m/>
    <x v="0"/>
    <x v="3"/>
    <x v="0"/>
    <n v="4"/>
    <n v="4"/>
    <n v="4"/>
    <x v="0"/>
    <n v="4"/>
    <x v="0"/>
    <n v="1"/>
    <n v="4"/>
    <n v="4"/>
    <n v="4"/>
    <n v="4"/>
    <n v="4"/>
    <n v="3"/>
    <n v="2"/>
    <n v="4"/>
    <n v="2"/>
    <n v="3"/>
    <n v="4"/>
    <x v="0"/>
    <x v="0"/>
    <x v="0"/>
    <n v="4"/>
    <n v="4"/>
    <x v="0"/>
    <n v="4"/>
    <n v="4"/>
    <n v="2"/>
    <n v="4"/>
    <n v="1"/>
    <n v="3"/>
    <x v="4"/>
    <x v="1"/>
    <x v="0"/>
    <x v="0"/>
    <x v="0"/>
    <x v="0"/>
    <x v="0"/>
    <x v="0"/>
    <x v="0"/>
    <x v="0"/>
    <x v="0"/>
    <x v="0"/>
    <x v="0"/>
    <x v="0"/>
    <x v="0"/>
    <x v="0"/>
    <x v="0"/>
    <x v="0"/>
    <x v="0"/>
    <x v="0"/>
    <x v="0"/>
    <x v="0"/>
    <m/>
    <m/>
    <m/>
    <m/>
  </r>
  <r>
    <m/>
    <x v="0"/>
    <x v="3"/>
    <x v="1"/>
    <n v="9"/>
    <n v="9"/>
    <n v="9"/>
    <x v="0"/>
    <n v="9"/>
    <x v="0"/>
    <n v="9"/>
    <n v="9"/>
    <n v="9"/>
    <n v="9"/>
    <n v="9"/>
    <n v="4"/>
    <n v="9"/>
    <n v="9"/>
    <n v="9"/>
    <n v="4"/>
    <n v="9"/>
    <n v="9"/>
    <x v="4"/>
    <x v="4"/>
    <x v="0"/>
    <n v="9"/>
    <n v="9"/>
    <x v="0"/>
    <n v="9"/>
    <n v="9"/>
    <n v="4"/>
    <n v="9"/>
    <n v="9"/>
    <n v="9"/>
    <x v="0"/>
    <x v="5"/>
    <x v="0"/>
    <x v="0"/>
    <x v="0"/>
    <x v="0"/>
    <x v="0"/>
    <x v="0"/>
    <x v="0"/>
    <x v="0"/>
    <x v="0"/>
    <x v="0"/>
    <x v="0"/>
    <x v="0"/>
    <x v="0"/>
    <x v="0"/>
    <x v="0"/>
    <x v="0"/>
    <x v="0"/>
    <x v="0"/>
    <x v="0"/>
    <x v="0"/>
    <m/>
    <m/>
    <m/>
    <m/>
  </r>
  <r>
    <m/>
    <x v="0"/>
    <x v="4"/>
    <x v="0"/>
    <n v="4"/>
    <n v="4"/>
    <n v="3"/>
    <x v="0"/>
    <n v="4"/>
    <x v="0"/>
    <n v="4"/>
    <n v="3"/>
    <n v="3"/>
    <n v="4"/>
    <n v="4"/>
    <n v="4"/>
    <n v="3"/>
    <n v="4"/>
    <n v="4"/>
    <n v="3"/>
    <n v="5"/>
    <n v="3"/>
    <x v="0"/>
    <x v="0"/>
    <x v="0"/>
    <n v="5"/>
    <n v="3"/>
    <x v="1"/>
    <n v="1"/>
    <n v="3"/>
    <n v="3"/>
    <n v="4"/>
    <n v="3"/>
    <n v="4"/>
    <x v="0"/>
    <x v="0"/>
    <x v="0"/>
    <x v="0"/>
    <x v="0"/>
    <x v="0"/>
    <x v="0"/>
    <x v="0"/>
    <x v="0"/>
    <x v="0"/>
    <x v="0"/>
    <x v="0"/>
    <x v="0"/>
    <x v="0"/>
    <x v="0"/>
    <x v="0"/>
    <x v="0"/>
    <x v="0"/>
    <x v="0"/>
    <x v="0"/>
    <x v="0"/>
    <x v="0"/>
    <m/>
    <m/>
    <m/>
    <m/>
  </r>
  <r>
    <m/>
    <x v="0"/>
    <x v="4"/>
    <x v="1"/>
    <n v="3"/>
    <n v="3"/>
    <n v="3"/>
    <x v="0"/>
    <n v="3"/>
    <x v="2"/>
    <n v="2"/>
    <n v="4"/>
    <n v="3"/>
    <n v="4"/>
    <n v="4"/>
    <n v="2"/>
    <n v="4"/>
    <n v="3"/>
    <n v="4"/>
    <n v="3"/>
    <n v="4"/>
    <n v="3"/>
    <x v="0"/>
    <x v="0"/>
    <x v="0"/>
    <n v="4"/>
    <n v="4"/>
    <x v="0"/>
    <n v="4"/>
    <n v="4"/>
    <n v="4"/>
    <n v="4"/>
    <n v="4"/>
    <n v="2"/>
    <x v="0"/>
    <x v="0"/>
    <x v="0"/>
    <x v="0"/>
    <x v="0"/>
    <x v="0"/>
    <x v="0"/>
    <x v="0"/>
    <x v="0"/>
    <x v="0"/>
    <x v="0"/>
    <x v="0"/>
    <x v="0"/>
    <x v="0"/>
    <x v="0"/>
    <x v="0"/>
    <x v="0"/>
    <x v="0"/>
    <x v="0"/>
    <x v="0"/>
    <x v="0"/>
    <x v="0"/>
    <m/>
    <m/>
    <m/>
    <m/>
  </r>
  <r>
    <m/>
    <x v="0"/>
    <x v="4"/>
    <x v="0"/>
    <n v="4"/>
    <n v="4"/>
    <n v="4"/>
    <x v="0"/>
    <n v="4"/>
    <x v="0"/>
    <n v="1"/>
    <n v="4"/>
    <n v="4"/>
    <n v="4"/>
    <n v="4"/>
    <n v="4"/>
    <n v="4"/>
    <n v="4"/>
    <n v="4"/>
    <n v="4"/>
    <n v="3"/>
    <n v="4"/>
    <x v="0"/>
    <x v="0"/>
    <x v="0"/>
    <n v="4"/>
    <n v="4"/>
    <x v="0"/>
    <n v="4"/>
    <n v="4"/>
    <n v="4"/>
    <n v="4"/>
    <n v="4"/>
    <n v="4"/>
    <x v="0"/>
    <x v="0"/>
    <x v="0"/>
    <x v="0"/>
    <x v="0"/>
    <x v="0"/>
    <x v="0"/>
    <x v="0"/>
    <x v="0"/>
    <x v="0"/>
    <x v="0"/>
    <x v="0"/>
    <x v="0"/>
    <x v="0"/>
    <x v="0"/>
    <x v="0"/>
    <x v="0"/>
    <x v="0"/>
    <x v="0"/>
    <x v="0"/>
    <x v="0"/>
    <x v="0"/>
    <m/>
    <m/>
    <m/>
    <m/>
  </r>
  <r>
    <m/>
    <x v="0"/>
    <x v="4"/>
    <x v="0"/>
    <n v="4"/>
    <n v="4"/>
    <n v="4"/>
    <x v="0"/>
    <n v="4"/>
    <x v="0"/>
    <n v="1"/>
    <n v="4"/>
    <n v="4"/>
    <n v="4"/>
    <n v="4"/>
    <n v="4"/>
    <n v="4"/>
    <n v="4"/>
    <n v="4"/>
    <n v="4"/>
    <n v="1"/>
    <n v="4"/>
    <x v="2"/>
    <x v="0"/>
    <x v="0"/>
    <n v="4"/>
    <n v="4"/>
    <x v="0"/>
    <n v="4"/>
    <n v="4"/>
    <n v="4"/>
    <n v="4"/>
    <n v="4"/>
    <n v="4"/>
    <x v="0"/>
    <x v="0"/>
    <x v="0"/>
    <x v="0"/>
    <x v="0"/>
    <x v="0"/>
    <x v="0"/>
    <x v="0"/>
    <x v="0"/>
    <x v="0"/>
    <x v="0"/>
    <x v="0"/>
    <x v="0"/>
    <x v="0"/>
    <x v="0"/>
    <x v="0"/>
    <x v="0"/>
    <x v="0"/>
    <x v="0"/>
    <x v="0"/>
    <x v="0"/>
    <x v="0"/>
    <m/>
    <m/>
    <m/>
    <m/>
  </r>
  <r>
    <m/>
    <x v="0"/>
    <x v="4"/>
    <x v="0"/>
    <n v="3"/>
    <n v="3"/>
    <n v="4"/>
    <x v="0"/>
    <n v="4"/>
    <x v="2"/>
    <n v="2"/>
    <n v="3"/>
    <n v="3"/>
    <n v="3"/>
    <n v="4"/>
    <n v="4"/>
    <n v="3"/>
    <n v="4"/>
    <n v="2"/>
    <n v="5"/>
    <n v="1"/>
    <n v="3"/>
    <x v="0"/>
    <x v="0"/>
    <x v="0"/>
    <n v="5"/>
    <n v="4"/>
    <x v="0"/>
    <n v="3"/>
    <n v="3"/>
    <n v="3"/>
    <n v="3"/>
    <n v="3"/>
    <n v="3"/>
    <x v="0"/>
    <x v="2"/>
    <x v="0"/>
    <x v="0"/>
    <x v="0"/>
    <x v="0"/>
    <x v="0"/>
    <x v="0"/>
    <x v="0"/>
    <x v="0"/>
    <x v="0"/>
    <x v="0"/>
    <x v="0"/>
    <x v="0"/>
    <x v="0"/>
    <x v="0"/>
    <x v="0"/>
    <x v="0"/>
    <x v="0"/>
    <x v="0"/>
    <x v="0"/>
    <x v="0"/>
    <m/>
    <m/>
    <m/>
    <m/>
  </r>
  <r>
    <m/>
    <x v="0"/>
    <x v="4"/>
    <x v="0"/>
    <n v="3"/>
    <n v="4"/>
    <n v="4"/>
    <x v="0"/>
    <n v="4"/>
    <x v="0"/>
    <n v="4"/>
    <n v="4"/>
    <n v="4"/>
    <n v="4"/>
    <n v="4"/>
    <n v="4"/>
    <n v="4"/>
    <n v="4"/>
    <n v="4"/>
    <n v="4"/>
    <n v="1"/>
    <n v="9"/>
    <x v="0"/>
    <x v="0"/>
    <x v="0"/>
    <n v="4"/>
    <n v="4"/>
    <x v="0"/>
    <n v="4"/>
    <n v="4"/>
    <n v="4"/>
    <n v="4"/>
    <n v="4"/>
    <n v="4"/>
    <x v="0"/>
    <x v="0"/>
    <x v="0"/>
    <x v="0"/>
    <x v="0"/>
    <x v="0"/>
    <x v="0"/>
    <x v="0"/>
    <x v="0"/>
    <x v="0"/>
    <x v="0"/>
    <x v="0"/>
    <x v="0"/>
    <x v="0"/>
    <x v="0"/>
    <x v="0"/>
    <x v="0"/>
    <x v="0"/>
    <x v="0"/>
    <x v="0"/>
    <x v="0"/>
    <x v="0"/>
    <m/>
    <m/>
    <m/>
    <m/>
  </r>
  <r>
    <m/>
    <x v="0"/>
    <x v="4"/>
    <x v="1"/>
    <n v="5"/>
    <n v="4"/>
    <n v="4"/>
    <x v="0"/>
    <n v="4"/>
    <x v="0"/>
    <n v="3"/>
    <n v="4"/>
    <n v="4"/>
    <n v="4"/>
    <n v="4"/>
    <n v="4"/>
    <n v="4"/>
    <n v="4"/>
    <n v="4"/>
    <n v="4"/>
    <n v="1"/>
    <n v="4"/>
    <x v="0"/>
    <x v="0"/>
    <x v="0"/>
    <n v="4"/>
    <n v="4"/>
    <x v="0"/>
    <n v="4"/>
    <n v="1"/>
    <n v="4"/>
    <n v="4"/>
    <n v="4"/>
    <n v="4"/>
    <x v="0"/>
    <x v="0"/>
    <x v="0"/>
    <x v="0"/>
    <x v="0"/>
    <x v="0"/>
    <x v="0"/>
    <x v="0"/>
    <x v="0"/>
    <x v="0"/>
    <x v="0"/>
    <x v="0"/>
    <x v="0"/>
    <x v="0"/>
    <x v="0"/>
    <x v="0"/>
    <x v="0"/>
    <x v="0"/>
    <x v="0"/>
    <x v="0"/>
    <x v="0"/>
    <x v="0"/>
    <m/>
    <m/>
    <m/>
    <m/>
  </r>
  <r>
    <m/>
    <x v="0"/>
    <x v="4"/>
    <x v="0"/>
    <n v="5"/>
    <n v="4"/>
    <n v="4"/>
    <x v="0"/>
    <n v="4"/>
    <x v="0"/>
    <n v="4"/>
    <n v="4"/>
    <n v="3"/>
    <n v="4"/>
    <n v="4"/>
    <n v="4"/>
    <n v="4"/>
    <n v="4"/>
    <n v="4"/>
    <n v="4"/>
    <n v="3"/>
    <n v="4"/>
    <x v="0"/>
    <x v="0"/>
    <x v="0"/>
    <n v="4"/>
    <n v="4"/>
    <x v="0"/>
    <n v="4"/>
    <n v="4"/>
    <n v="3"/>
    <n v="4"/>
    <n v="4"/>
    <n v="4"/>
    <x v="0"/>
    <x v="0"/>
    <x v="0"/>
    <x v="0"/>
    <x v="0"/>
    <x v="0"/>
    <x v="0"/>
    <x v="0"/>
    <x v="0"/>
    <x v="0"/>
    <x v="0"/>
    <x v="0"/>
    <x v="0"/>
    <x v="0"/>
    <x v="0"/>
    <x v="0"/>
    <x v="0"/>
    <x v="0"/>
    <x v="0"/>
    <x v="0"/>
    <x v="0"/>
    <x v="0"/>
    <m/>
    <m/>
    <m/>
    <m/>
  </r>
  <r>
    <m/>
    <x v="0"/>
    <x v="4"/>
    <x v="0"/>
    <n v="1"/>
    <n v="4"/>
    <n v="4"/>
    <x v="0"/>
    <n v="4"/>
    <x v="0"/>
    <n v="4"/>
    <n v="4"/>
    <n v="4"/>
    <n v="4"/>
    <n v="4"/>
    <n v="4"/>
    <n v="4"/>
    <n v="4"/>
    <n v="4"/>
    <n v="4"/>
    <n v="1"/>
    <n v="4"/>
    <x v="0"/>
    <x v="0"/>
    <x v="0"/>
    <n v="4"/>
    <n v="4"/>
    <x v="0"/>
    <n v="4"/>
    <n v="4"/>
    <n v="4"/>
    <n v="4"/>
    <n v="4"/>
    <n v="4"/>
    <x v="0"/>
    <x v="0"/>
    <x v="0"/>
    <x v="0"/>
    <x v="0"/>
    <x v="0"/>
    <x v="0"/>
    <x v="0"/>
    <x v="0"/>
    <x v="0"/>
    <x v="0"/>
    <x v="0"/>
    <x v="0"/>
    <x v="0"/>
    <x v="0"/>
    <x v="0"/>
    <x v="0"/>
    <x v="0"/>
    <x v="0"/>
    <x v="0"/>
    <x v="0"/>
    <x v="0"/>
    <m/>
    <m/>
    <m/>
    <m/>
  </r>
  <r>
    <m/>
    <x v="0"/>
    <x v="4"/>
    <x v="0"/>
    <n v="4"/>
    <n v="4"/>
    <n v="4"/>
    <x v="0"/>
    <n v="4"/>
    <x v="0"/>
    <n v="1"/>
    <n v="4"/>
    <n v="4"/>
    <n v="4"/>
    <n v="4"/>
    <n v="4"/>
    <n v="4"/>
    <n v="4"/>
    <n v="4"/>
    <n v="4"/>
    <n v="1"/>
    <n v="4"/>
    <x v="0"/>
    <x v="0"/>
    <x v="0"/>
    <n v="4"/>
    <n v="4"/>
    <x v="0"/>
    <n v="3"/>
    <n v="4"/>
    <n v="4"/>
    <n v="4"/>
    <n v="4"/>
    <n v="4"/>
    <x v="0"/>
    <x v="0"/>
    <x v="0"/>
    <x v="0"/>
    <x v="0"/>
    <x v="0"/>
    <x v="0"/>
    <x v="0"/>
    <x v="0"/>
    <x v="0"/>
    <x v="0"/>
    <x v="0"/>
    <x v="0"/>
    <x v="0"/>
    <x v="0"/>
    <x v="0"/>
    <x v="0"/>
    <x v="0"/>
    <x v="0"/>
    <x v="0"/>
    <x v="0"/>
    <x v="0"/>
    <m/>
    <m/>
    <m/>
    <m/>
  </r>
  <r>
    <m/>
    <x v="0"/>
    <x v="4"/>
    <x v="0"/>
    <n v="3"/>
    <n v="5"/>
    <n v="4"/>
    <x v="0"/>
    <n v="5"/>
    <x v="0"/>
    <n v="4"/>
    <n v="3"/>
    <n v="4"/>
    <n v="4"/>
    <n v="4"/>
    <n v="4"/>
    <n v="3"/>
    <n v="4"/>
    <n v="4"/>
    <n v="4"/>
    <n v="1"/>
    <n v="4"/>
    <x v="0"/>
    <x v="0"/>
    <x v="0"/>
    <n v="4"/>
    <n v="4"/>
    <x v="0"/>
    <n v="1"/>
    <n v="1"/>
    <n v="4"/>
    <n v="5"/>
    <n v="2"/>
    <n v="4"/>
    <x v="0"/>
    <x v="0"/>
    <x v="0"/>
    <x v="0"/>
    <x v="0"/>
    <x v="0"/>
    <x v="0"/>
    <x v="0"/>
    <x v="0"/>
    <x v="0"/>
    <x v="0"/>
    <x v="0"/>
    <x v="0"/>
    <x v="0"/>
    <x v="0"/>
    <x v="0"/>
    <x v="0"/>
    <x v="0"/>
    <x v="0"/>
    <x v="0"/>
    <x v="0"/>
    <x v="0"/>
    <m/>
    <m/>
    <m/>
    <m/>
  </r>
  <r>
    <m/>
    <x v="0"/>
    <x v="4"/>
    <x v="1"/>
    <n v="9"/>
    <n v="4"/>
    <n v="4"/>
    <x v="0"/>
    <n v="9"/>
    <x v="0"/>
    <n v="1"/>
    <n v="3"/>
    <n v="4"/>
    <n v="4"/>
    <n v="4"/>
    <n v="4"/>
    <n v="3"/>
    <n v="3"/>
    <n v="5"/>
    <n v="4"/>
    <n v="1"/>
    <n v="4"/>
    <x v="1"/>
    <x v="3"/>
    <x v="0"/>
    <n v="4"/>
    <n v="4"/>
    <x v="3"/>
    <n v="4"/>
    <n v="4"/>
    <n v="4"/>
    <n v="4"/>
    <n v="4"/>
    <n v="9"/>
    <x v="0"/>
    <x v="0"/>
    <x v="0"/>
    <x v="0"/>
    <x v="0"/>
    <x v="0"/>
    <x v="0"/>
    <x v="0"/>
    <x v="0"/>
    <x v="0"/>
    <x v="0"/>
    <x v="0"/>
    <x v="0"/>
    <x v="0"/>
    <x v="0"/>
    <x v="0"/>
    <x v="0"/>
    <x v="0"/>
    <x v="0"/>
    <x v="0"/>
    <x v="0"/>
    <x v="0"/>
    <m/>
    <m/>
    <m/>
    <m/>
  </r>
  <r>
    <m/>
    <x v="0"/>
    <x v="4"/>
    <x v="1"/>
    <n v="2"/>
    <n v="2"/>
    <n v="2"/>
    <x v="1"/>
    <n v="3"/>
    <x v="2"/>
    <n v="2"/>
    <n v="2"/>
    <n v="3"/>
    <n v="3"/>
    <n v="3"/>
    <n v="3"/>
    <n v="2"/>
    <n v="3"/>
    <n v="3"/>
    <n v="3"/>
    <n v="3"/>
    <n v="3"/>
    <x v="3"/>
    <x v="1"/>
    <x v="1"/>
    <n v="3"/>
    <n v="3"/>
    <x v="1"/>
    <n v="3"/>
    <n v="3"/>
    <n v="3"/>
    <n v="3"/>
    <n v="3"/>
    <n v="3"/>
    <x v="1"/>
    <x v="2"/>
    <x v="0"/>
    <x v="0"/>
    <x v="0"/>
    <x v="0"/>
    <x v="0"/>
    <x v="0"/>
    <x v="0"/>
    <x v="0"/>
    <x v="0"/>
    <x v="0"/>
    <x v="0"/>
    <x v="0"/>
    <x v="0"/>
    <x v="0"/>
    <x v="0"/>
    <x v="0"/>
    <x v="0"/>
    <x v="0"/>
    <x v="0"/>
    <x v="0"/>
    <m/>
    <m/>
    <m/>
    <m/>
  </r>
  <r>
    <m/>
    <x v="0"/>
    <x v="4"/>
    <x v="1"/>
    <n v="3"/>
    <n v="3"/>
    <n v="3"/>
    <x v="1"/>
    <n v="3"/>
    <x v="2"/>
    <n v="2"/>
    <n v="3"/>
    <n v="3"/>
    <n v="3"/>
    <n v="3"/>
    <n v="9"/>
    <n v="3"/>
    <n v="4"/>
    <n v="4"/>
    <n v="3"/>
    <n v="3"/>
    <n v="3"/>
    <x v="3"/>
    <x v="0"/>
    <x v="0"/>
    <n v="3"/>
    <n v="3"/>
    <x v="1"/>
    <n v="4"/>
    <n v="4"/>
    <n v="3"/>
    <n v="4"/>
    <n v="4"/>
    <n v="3"/>
    <x v="0"/>
    <x v="2"/>
    <x v="0"/>
    <x v="0"/>
    <x v="0"/>
    <x v="0"/>
    <x v="0"/>
    <x v="0"/>
    <x v="0"/>
    <x v="0"/>
    <x v="0"/>
    <x v="0"/>
    <x v="0"/>
    <x v="0"/>
    <x v="0"/>
    <x v="0"/>
    <x v="0"/>
    <x v="0"/>
    <x v="0"/>
    <x v="0"/>
    <x v="0"/>
    <x v="0"/>
    <m/>
    <m/>
    <m/>
    <m/>
  </r>
  <r>
    <m/>
    <x v="0"/>
    <x v="4"/>
    <x v="0"/>
    <n v="5"/>
    <n v="3"/>
    <n v="4"/>
    <x v="0"/>
    <n v="5"/>
    <x v="2"/>
    <n v="1"/>
    <n v="3"/>
    <n v="3"/>
    <n v="5"/>
    <n v="4"/>
    <n v="4"/>
    <n v="3"/>
    <n v="4"/>
    <n v="3"/>
    <n v="4"/>
    <n v="3"/>
    <n v="4"/>
    <x v="0"/>
    <x v="0"/>
    <x v="0"/>
    <n v="4"/>
    <n v="4"/>
    <x v="0"/>
    <n v="4"/>
    <n v="4"/>
    <n v="4"/>
    <n v="4"/>
    <n v="4"/>
    <n v="5"/>
    <x v="0"/>
    <x v="0"/>
    <x v="0"/>
    <x v="0"/>
    <x v="0"/>
    <x v="0"/>
    <x v="0"/>
    <x v="0"/>
    <x v="0"/>
    <x v="0"/>
    <x v="0"/>
    <x v="0"/>
    <x v="0"/>
    <x v="0"/>
    <x v="0"/>
    <x v="0"/>
    <x v="0"/>
    <x v="0"/>
    <x v="0"/>
    <x v="0"/>
    <x v="0"/>
    <x v="0"/>
    <m/>
    <m/>
    <m/>
    <m/>
  </r>
  <r>
    <m/>
    <x v="0"/>
    <x v="4"/>
    <x v="1"/>
    <n v="5"/>
    <n v="5"/>
    <n v="4"/>
    <x v="0"/>
    <n v="5"/>
    <x v="3"/>
    <n v="5"/>
    <n v="3"/>
    <n v="3"/>
    <n v="3"/>
    <n v="3"/>
    <n v="3"/>
    <n v="3"/>
    <n v="3"/>
    <n v="3"/>
    <n v="3"/>
    <n v="3"/>
    <n v="3"/>
    <x v="5"/>
    <x v="2"/>
    <x v="1"/>
    <n v="3"/>
    <n v="3"/>
    <x v="3"/>
    <n v="3"/>
    <n v="3"/>
    <n v="3"/>
    <n v="3"/>
    <n v="3"/>
    <n v="5"/>
    <x v="1"/>
    <x v="3"/>
    <x v="0"/>
    <x v="0"/>
    <x v="0"/>
    <x v="0"/>
    <x v="0"/>
    <x v="0"/>
    <x v="0"/>
    <x v="0"/>
    <x v="0"/>
    <x v="0"/>
    <x v="0"/>
    <x v="0"/>
    <x v="0"/>
    <x v="0"/>
    <x v="0"/>
    <x v="0"/>
    <x v="0"/>
    <x v="0"/>
    <x v="0"/>
    <x v="0"/>
    <m/>
    <m/>
    <m/>
    <m/>
  </r>
  <r>
    <m/>
    <x v="0"/>
    <x v="4"/>
    <x v="1"/>
    <n v="4"/>
    <n v="4"/>
    <n v="4"/>
    <x v="0"/>
    <n v="1"/>
    <x v="0"/>
    <n v="1"/>
    <n v="4"/>
    <n v="5"/>
    <n v="4"/>
    <n v="3"/>
    <n v="4"/>
    <n v="4"/>
    <n v="4"/>
    <n v="5"/>
    <n v="4"/>
    <n v="1"/>
    <n v="9"/>
    <x v="2"/>
    <x v="0"/>
    <x v="0"/>
    <n v="4"/>
    <n v="4"/>
    <x v="4"/>
    <n v="4"/>
    <n v="4"/>
    <n v="4"/>
    <n v="5"/>
    <n v="4"/>
    <n v="4"/>
    <x v="0"/>
    <x v="3"/>
    <x v="0"/>
    <x v="0"/>
    <x v="0"/>
    <x v="0"/>
    <x v="0"/>
    <x v="0"/>
    <x v="0"/>
    <x v="0"/>
    <x v="0"/>
    <x v="0"/>
    <x v="0"/>
    <x v="0"/>
    <x v="0"/>
    <x v="0"/>
    <x v="0"/>
    <x v="0"/>
    <x v="0"/>
    <x v="0"/>
    <x v="0"/>
    <x v="0"/>
    <m/>
    <m/>
    <m/>
    <m/>
  </r>
  <r>
    <m/>
    <x v="0"/>
    <x v="4"/>
    <x v="1"/>
    <n v="4"/>
    <n v="4"/>
    <n v="4"/>
    <x v="0"/>
    <n v="1"/>
    <x v="0"/>
    <n v="4"/>
    <n v="1"/>
    <n v="4"/>
    <n v="4"/>
    <n v="4"/>
    <n v="4"/>
    <n v="4"/>
    <n v="4"/>
    <n v="4"/>
    <n v="4"/>
    <n v="4"/>
    <n v="4"/>
    <x v="0"/>
    <x v="0"/>
    <x v="0"/>
    <n v="4"/>
    <n v="4"/>
    <x v="0"/>
    <n v="4"/>
    <n v="4"/>
    <n v="4"/>
    <n v="4"/>
    <n v="4"/>
    <n v="4"/>
    <x v="0"/>
    <x v="0"/>
    <x v="0"/>
    <x v="0"/>
    <x v="0"/>
    <x v="0"/>
    <x v="0"/>
    <x v="0"/>
    <x v="0"/>
    <x v="0"/>
    <x v="0"/>
    <x v="0"/>
    <x v="0"/>
    <x v="0"/>
    <x v="0"/>
    <x v="0"/>
    <x v="0"/>
    <x v="0"/>
    <x v="0"/>
    <x v="0"/>
    <x v="0"/>
    <x v="0"/>
    <m/>
    <m/>
    <m/>
    <m/>
  </r>
  <r>
    <m/>
    <x v="0"/>
    <x v="4"/>
    <x v="1"/>
    <n v="4"/>
    <n v="4"/>
    <n v="4"/>
    <x v="0"/>
    <n v="4"/>
    <x v="2"/>
    <n v="4"/>
    <n v="4"/>
    <n v="3"/>
    <n v="9"/>
    <n v="4"/>
    <n v="4"/>
    <n v="4"/>
    <n v="4"/>
    <n v="4"/>
    <n v="4"/>
    <n v="1"/>
    <n v="4"/>
    <x v="0"/>
    <x v="0"/>
    <x v="0"/>
    <n v="1"/>
    <n v="4"/>
    <x v="0"/>
    <n v="3"/>
    <n v="4"/>
    <n v="4"/>
    <n v="4"/>
    <n v="4"/>
    <n v="4"/>
    <x v="0"/>
    <x v="0"/>
    <x v="0"/>
    <x v="0"/>
    <x v="0"/>
    <x v="0"/>
    <x v="0"/>
    <x v="0"/>
    <x v="0"/>
    <x v="0"/>
    <x v="0"/>
    <x v="0"/>
    <x v="0"/>
    <x v="0"/>
    <x v="0"/>
    <x v="0"/>
    <x v="0"/>
    <x v="0"/>
    <x v="0"/>
    <x v="0"/>
    <x v="0"/>
    <x v="0"/>
    <m/>
    <m/>
    <m/>
    <m/>
  </r>
  <r>
    <m/>
    <x v="0"/>
    <x v="4"/>
    <x v="0"/>
    <n v="3"/>
    <n v="3"/>
    <n v="3"/>
    <x v="0"/>
    <n v="3"/>
    <x v="2"/>
    <n v="2"/>
    <n v="5"/>
    <n v="3"/>
    <n v="4"/>
    <n v="4"/>
    <n v="4"/>
    <n v="4"/>
    <n v="4"/>
    <n v="4"/>
    <n v="4"/>
    <n v="2"/>
    <n v="3"/>
    <x v="2"/>
    <x v="0"/>
    <x v="0"/>
    <n v="4"/>
    <n v="4"/>
    <x v="0"/>
    <n v="2"/>
    <n v="4"/>
    <n v="2"/>
    <n v="4"/>
    <n v="4"/>
    <n v="5"/>
    <x v="0"/>
    <x v="2"/>
    <x v="0"/>
    <x v="0"/>
    <x v="0"/>
    <x v="0"/>
    <x v="0"/>
    <x v="0"/>
    <x v="0"/>
    <x v="0"/>
    <x v="0"/>
    <x v="0"/>
    <x v="0"/>
    <x v="0"/>
    <x v="0"/>
    <x v="0"/>
    <x v="0"/>
    <x v="0"/>
    <x v="0"/>
    <x v="0"/>
    <x v="0"/>
    <x v="0"/>
    <m/>
    <m/>
    <m/>
    <m/>
  </r>
  <r>
    <m/>
    <x v="0"/>
    <x v="4"/>
    <x v="0"/>
    <n v="5"/>
    <n v="3"/>
    <n v="4"/>
    <x v="0"/>
    <n v="3"/>
    <x v="2"/>
    <n v="4"/>
    <n v="5"/>
    <n v="4"/>
    <n v="4"/>
    <n v="4"/>
    <n v="4"/>
    <n v="4"/>
    <n v="4"/>
    <n v="4"/>
    <n v="4"/>
    <n v="4"/>
    <n v="4"/>
    <x v="3"/>
    <x v="5"/>
    <x v="2"/>
    <n v="2"/>
    <n v="4"/>
    <x v="0"/>
    <n v="2"/>
    <n v="3"/>
    <n v="4"/>
    <n v="4"/>
    <n v="4"/>
    <n v="4"/>
    <x v="0"/>
    <x v="0"/>
    <x v="0"/>
    <x v="0"/>
    <x v="0"/>
    <x v="0"/>
    <x v="0"/>
    <x v="0"/>
    <x v="0"/>
    <x v="0"/>
    <x v="0"/>
    <x v="0"/>
    <x v="0"/>
    <x v="0"/>
    <x v="0"/>
    <x v="0"/>
    <x v="0"/>
    <x v="0"/>
    <x v="0"/>
    <x v="0"/>
    <x v="0"/>
    <x v="0"/>
    <m/>
    <m/>
    <m/>
    <m/>
  </r>
  <r>
    <m/>
    <x v="0"/>
    <x v="4"/>
    <x v="1"/>
    <n v="4"/>
    <n v="3"/>
    <n v="4"/>
    <x v="1"/>
    <n v="4"/>
    <x v="0"/>
    <n v="2"/>
    <n v="4"/>
    <n v="4"/>
    <n v="3"/>
    <n v="4"/>
    <n v="3"/>
    <n v="4"/>
    <n v="4"/>
    <n v="3"/>
    <n v="4"/>
    <n v="1"/>
    <n v="3"/>
    <x v="0"/>
    <x v="0"/>
    <x v="0"/>
    <n v="3"/>
    <n v="3"/>
    <x v="0"/>
    <n v="4"/>
    <n v="4"/>
    <n v="4"/>
    <n v="4"/>
    <n v="4"/>
    <n v="4"/>
    <x v="0"/>
    <x v="0"/>
    <x v="0"/>
    <x v="0"/>
    <x v="0"/>
    <x v="0"/>
    <x v="0"/>
    <x v="0"/>
    <x v="0"/>
    <x v="0"/>
    <x v="0"/>
    <x v="0"/>
    <x v="0"/>
    <x v="0"/>
    <x v="0"/>
    <x v="0"/>
    <x v="0"/>
    <x v="0"/>
    <x v="0"/>
    <x v="0"/>
    <x v="0"/>
    <x v="0"/>
    <m/>
    <m/>
    <m/>
    <m/>
  </r>
  <r>
    <m/>
    <x v="0"/>
    <x v="4"/>
    <x v="2"/>
    <n v="5"/>
    <n v="3"/>
    <n v="1"/>
    <x v="0"/>
    <n v="1"/>
    <x v="0"/>
    <n v="3"/>
    <n v="5"/>
    <n v="1"/>
    <n v="5"/>
    <n v="9"/>
    <n v="9"/>
    <n v="9"/>
    <n v="9"/>
    <n v="9"/>
    <n v="9"/>
    <n v="9"/>
    <n v="9"/>
    <x v="4"/>
    <x v="4"/>
    <x v="5"/>
    <n v="9"/>
    <n v="9"/>
    <x v="2"/>
    <n v="9"/>
    <n v="9"/>
    <n v="9"/>
    <n v="9"/>
    <n v="9"/>
    <n v="9"/>
    <x v="5"/>
    <x v="5"/>
    <x v="0"/>
    <x v="0"/>
    <x v="0"/>
    <x v="0"/>
    <x v="0"/>
    <x v="0"/>
    <x v="0"/>
    <x v="0"/>
    <x v="0"/>
    <x v="0"/>
    <x v="0"/>
    <x v="0"/>
    <x v="0"/>
    <x v="0"/>
    <x v="0"/>
    <x v="0"/>
    <x v="0"/>
    <x v="0"/>
    <x v="0"/>
    <x v="0"/>
    <m/>
    <m/>
    <m/>
    <m/>
  </r>
  <r>
    <m/>
    <x v="0"/>
    <x v="4"/>
    <x v="1"/>
    <n v="3"/>
    <n v="3"/>
    <n v="4"/>
    <x v="3"/>
    <n v="5"/>
    <x v="0"/>
    <n v="3"/>
    <n v="4"/>
    <n v="5"/>
    <n v="3"/>
    <n v="3"/>
    <n v="3"/>
    <n v="2"/>
    <n v="3"/>
    <n v="1"/>
    <n v="5"/>
    <n v="4"/>
    <n v="3"/>
    <x v="0"/>
    <x v="0"/>
    <x v="1"/>
    <n v="3"/>
    <n v="3"/>
    <x v="1"/>
    <n v="2"/>
    <n v="3"/>
    <n v="3"/>
    <n v="2"/>
    <n v="3"/>
    <n v="3"/>
    <x v="0"/>
    <x v="3"/>
    <x v="0"/>
    <x v="0"/>
    <x v="0"/>
    <x v="0"/>
    <x v="0"/>
    <x v="0"/>
    <x v="0"/>
    <x v="0"/>
    <x v="0"/>
    <x v="0"/>
    <x v="0"/>
    <x v="0"/>
    <x v="0"/>
    <x v="0"/>
    <x v="0"/>
    <x v="0"/>
    <x v="0"/>
    <x v="0"/>
    <x v="0"/>
    <x v="0"/>
    <m/>
    <m/>
    <m/>
    <m/>
  </r>
  <r>
    <m/>
    <x v="0"/>
    <x v="4"/>
    <x v="1"/>
    <n v="1"/>
    <n v="4"/>
    <n v="4"/>
    <x v="0"/>
    <n v="5"/>
    <x v="0"/>
    <n v="1"/>
    <n v="4"/>
    <n v="4"/>
    <n v="2"/>
    <n v="4"/>
    <n v="5"/>
    <n v="3"/>
    <n v="4"/>
    <n v="2"/>
    <n v="4"/>
    <n v="1"/>
    <n v="2"/>
    <x v="5"/>
    <x v="0"/>
    <x v="1"/>
    <n v="2"/>
    <n v="4"/>
    <x v="1"/>
    <n v="1"/>
    <n v="4"/>
    <n v="2"/>
    <n v="3"/>
    <n v="1"/>
    <n v="5"/>
    <x v="2"/>
    <x v="2"/>
    <x v="0"/>
    <x v="0"/>
    <x v="0"/>
    <x v="0"/>
    <x v="0"/>
    <x v="0"/>
    <x v="0"/>
    <x v="0"/>
    <x v="0"/>
    <x v="0"/>
    <x v="0"/>
    <x v="0"/>
    <x v="0"/>
    <x v="0"/>
    <x v="0"/>
    <x v="0"/>
    <x v="0"/>
    <x v="0"/>
    <x v="0"/>
    <x v="0"/>
    <m/>
    <m/>
    <m/>
    <m/>
  </r>
  <r>
    <m/>
    <x v="0"/>
    <x v="4"/>
    <x v="1"/>
    <n v="5"/>
    <n v="5"/>
    <n v="5"/>
    <x v="0"/>
    <n v="4"/>
    <x v="3"/>
    <n v="1"/>
    <n v="5"/>
    <n v="5"/>
    <n v="5"/>
    <n v="5"/>
    <n v="5"/>
    <n v="4"/>
    <n v="5"/>
    <n v="5"/>
    <n v="5"/>
    <n v="1"/>
    <n v="4"/>
    <x v="0"/>
    <x v="0"/>
    <x v="0"/>
    <n v="5"/>
    <n v="5"/>
    <x v="3"/>
    <n v="3"/>
    <n v="4"/>
    <n v="4"/>
    <n v="5"/>
    <n v="5"/>
    <n v="5"/>
    <x v="3"/>
    <x v="3"/>
    <x v="0"/>
    <x v="0"/>
    <x v="0"/>
    <x v="0"/>
    <x v="0"/>
    <x v="0"/>
    <x v="0"/>
    <x v="0"/>
    <x v="0"/>
    <x v="0"/>
    <x v="0"/>
    <x v="0"/>
    <x v="0"/>
    <x v="0"/>
    <x v="0"/>
    <x v="0"/>
    <x v="0"/>
    <x v="0"/>
    <x v="0"/>
    <x v="0"/>
    <m/>
    <m/>
    <m/>
    <m/>
  </r>
  <r>
    <m/>
    <x v="0"/>
    <x v="4"/>
    <x v="0"/>
    <n v="5"/>
    <n v="5"/>
    <n v="5"/>
    <x v="1"/>
    <n v="5"/>
    <x v="3"/>
    <n v="5"/>
    <n v="5"/>
    <n v="5"/>
    <n v="5"/>
    <n v="5"/>
    <n v="4"/>
    <n v="3"/>
    <n v="3"/>
    <n v="2"/>
    <n v="5"/>
    <n v="3"/>
    <n v="2"/>
    <x v="0"/>
    <x v="0"/>
    <x v="0"/>
    <n v="4"/>
    <n v="5"/>
    <x v="3"/>
    <n v="4"/>
    <n v="4"/>
    <n v="4"/>
    <n v="5"/>
    <n v="4"/>
    <n v="5"/>
    <x v="0"/>
    <x v="3"/>
    <x v="0"/>
    <x v="0"/>
    <x v="0"/>
    <x v="0"/>
    <x v="0"/>
    <x v="0"/>
    <x v="0"/>
    <x v="0"/>
    <x v="0"/>
    <x v="0"/>
    <x v="0"/>
    <x v="0"/>
    <x v="0"/>
    <x v="0"/>
    <x v="0"/>
    <x v="0"/>
    <x v="0"/>
    <x v="0"/>
    <x v="0"/>
    <x v="0"/>
    <m/>
    <m/>
    <m/>
    <m/>
  </r>
  <r>
    <m/>
    <x v="0"/>
    <x v="4"/>
    <x v="0"/>
    <n v="5"/>
    <n v="1"/>
    <n v="5"/>
    <x v="0"/>
    <n v="5"/>
    <x v="4"/>
    <n v="4"/>
    <n v="1"/>
    <n v="5"/>
    <n v="4"/>
    <n v="1"/>
    <n v="4"/>
    <n v="5"/>
    <n v="4"/>
    <n v="4"/>
    <n v="4"/>
    <n v="3"/>
    <n v="3"/>
    <x v="0"/>
    <x v="0"/>
    <x v="0"/>
    <n v="3"/>
    <n v="4"/>
    <x v="0"/>
    <n v="1"/>
    <n v="9"/>
    <n v="3"/>
    <n v="9"/>
    <n v="1"/>
    <n v="1"/>
    <x v="0"/>
    <x v="0"/>
    <x v="0"/>
    <x v="0"/>
    <x v="0"/>
    <x v="0"/>
    <x v="0"/>
    <x v="0"/>
    <x v="0"/>
    <x v="0"/>
    <x v="0"/>
    <x v="0"/>
    <x v="0"/>
    <x v="0"/>
    <x v="0"/>
    <x v="0"/>
    <x v="0"/>
    <x v="0"/>
    <x v="0"/>
    <x v="0"/>
    <x v="0"/>
    <x v="0"/>
    <m/>
    <m/>
    <m/>
    <m/>
  </r>
  <r>
    <m/>
    <x v="0"/>
    <x v="4"/>
    <x v="1"/>
    <n v="5"/>
    <n v="5"/>
    <n v="5"/>
    <x v="0"/>
    <n v="5"/>
    <x v="3"/>
    <n v="4"/>
    <n v="4"/>
    <n v="5"/>
    <n v="5"/>
    <n v="5"/>
    <n v="4"/>
    <n v="5"/>
    <n v="5"/>
    <n v="5"/>
    <n v="4"/>
    <n v="5"/>
    <n v="5"/>
    <x v="0"/>
    <x v="0"/>
    <x v="0"/>
    <n v="5"/>
    <n v="4"/>
    <x v="3"/>
    <n v="4"/>
    <n v="4"/>
    <n v="4"/>
    <n v="5"/>
    <n v="4"/>
    <n v="5"/>
    <x v="1"/>
    <x v="3"/>
    <x v="0"/>
    <x v="0"/>
    <x v="0"/>
    <x v="0"/>
    <x v="0"/>
    <x v="0"/>
    <x v="0"/>
    <x v="0"/>
    <x v="0"/>
    <x v="0"/>
    <x v="0"/>
    <x v="0"/>
    <x v="0"/>
    <x v="0"/>
    <x v="0"/>
    <x v="0"/>
    <x v="0"/>
    <x v="0"/>
    <x v="0"/>
    <x v="0"/>
    <m/>
    <m/>
    <m/>
    <m/>
  </r>
  <r>
    <m/>
    <x v="0"/>
    <x v="4"/>
    <x v="0"/>
    <n v="4"/>
    <n v="3"/>
    <n v="3"/>
    <x v="1"/>
    <n v="3"/>
    <x v="2"/>
    <n v="2"/>
    <n v="3"/>
    <n v="3"/>
    <n v="3"/>
    <n v="3"/>
    <n v="3"/>
    <n v="3"/>
    <n v="4"/>
    <n v="3"/>
    <n v="4"/>
    <n v="3"/>
    <n v="3"/>
    <x v="0"/>
    <x v="0"/>
    <x v="1"/>
    <n v="3"/>
    <n v="3"/>
    <x v="1"/>
    <n v="2"/>
    <n v="1"/>
    <n v="3"/>
    <n v="3"/>
    <n v="2"/>
    <n v="3"/>
    <x v="1"/>
    <x v="2"/>
    <x v="0"/>
    <x v="0"/>
    <x v="0"/>
    <x v="0"/>
    <x v="0"/>
    <x v="0"/>
    <x v="0"/>
    <x v="0"/>
    <x v="0"/>
    <x v="0"/>
    <x v="0"/>
    <x v="0"/>
    <x v="0"/>
    <x v="0"/>
    <x v="0"/>
    <x v="0"/>
    <x v="0"/>
    <x v="0"/>
    <x v="0"/>
    <x v="0"/>
    <m/>
    <m/>
    <m/>
    <m/>
  </r>
  <r>
    <m/>
    <x v="0"/>
    <x v="4"/>
    <x v="1"/>
    <n v="5"/>
    <n v="4"/>
    <n v="3"/>
    <x v="1"/>
    <n v="5"/>
    <x v="1"/>
    <n v="4"/>
    <n v="3"/>
    <n v="3"/>
    <n v="3"/>
    <n v="4"/>
    <n v="4"/>
    <n v="2"/>
    <n v="3"/>
    <n v="4"/>
    <n v="4"/>
    <n v="1"/>
    <n v="1"/>
    <x v="0"/>
    <x v="0"/>
    <x v="0"/>
    <n v="4"/>
    <n v="4"/>
    <x v="0"/>
    <n v="4"/>
    <n v="4"/>
    <n v="4"/>
    <n v="4"/>
    <n v="4"/>
    <n v="1"/>
    <x v="0"/>
    <x v="0"/>
    <x v="0"/>
    <x v="0"/>
    <x v="0"/>
    <x v="0"/>
    <x v="0"/>
    <x v="0"/>
    <x v="0"/>
    <x v="0"/>
    <x v="0"/>
    <x v="0"/>
    <x v="0"/>
    <x v="0"/>
    <x v="0"/>
    <x v="0"/>
    <x v="0"/>
    <x v="0"/>
    <x v="0"/>
    <x v="0"/>
    <x v="0"/>
    <x v="0"/>
    <m/>
    <m/>
    <m/>
    <m/>
  </r>
  <r>
    <m/>
    <x v="0"/>
    <x v="4"/>
    <x v="0"/>
    <n v="4"/>
    <n v="4"/>
    <n v="4"/>
    <x v="0"/>
    <n v="4"/>
    <x v="0"/>
    <n v="2"/>
    <n v="4"/>
    <n v="4"/>
    <n v="2"/>
    <n v="3"/>
    <n v="4"/>
    <n v="3"/>
    <n v="4"/>
    <n v="4"/>
    <n v="3"/>
    <n v="3"/>
    <n v="4"/>
    <x v="0"/>
    <x v="0"/>
    <x v="0"/>
    <n v="4"/>
    <n v="4"/>
    <x v="0"/>
    <n v="4"/>
    <n v="4"/>
    <n v="4"/>
    <n v="4"/>
    <n v="4"/>
    <n v="4"/>
    <x v="0"/>
    <x v="2"/>
    <x v="0"/>
    <x v="0"/>
    <x v="0"/>
    <x v="0"/>
    <x v="0"/>
    <x v="0"/>
    <x v="0"/>
    <x v="0"/>
    <x v="0"/>
    <x v="0"/>
    <x v="0"/>
    <x v="0"/>
    <x v="0"/>
    <x v="0"/>
    <x v="0"/>
    <x v="0"/>
    <x v="0"/>
    <x v="0"/>
    <x v="0"/>
    <x v="0"/>
    <m/>
    <m/>
    <m/>
    <m/>
  </r>
  <r>
    <m/>
    <x v="0"/>
    <x v="4"/>
    <x v="0"/>
    <n v="4"/>
    <n v="4"/>
    <n v="4"/>
    <x v="0"/>
    <n v="4"/>
    <x v="0"/>
    <n v="4"/>
    <n v="4"/>
    <n v="4"/>
    <n v="4"/>
    <n v="4"/>
    <n v="4"/>
    <n v="4"/>
    <n v="4"/>
    <n v="4"/>
    <n v="4"/>
    <n v="2"/>
    <n v="4"/>
    <x v="0"/>
    <x v="0"/>
    <x v="0"/>
    <n v="4"/>
    <n v="4"/>
    <x v="0"/>
    <n v="4"/>
    <n v="4"/>
    <n v="4"/>
    <n v="4"/>
    <n v="4"/>
    <n v="4"/>
    <x v="0"/>
    <x v="0"/>
    <x v="0"/>
    <x v="0"/>
    <x v="0"/>
    <x v="0"/>
    <x v="0"/>
    <x v="0"/>
    <x v="0"/>
    <x v="0"/>
    <x v="0"/>
    <x v="0"/>
    <x v="0"/>
    <x v="0"/>
    <x v="0"/>
    <x v="0"/>
    <x v="0"/>
    <x v="0"/>
    <x v="0"/>
    <x v="0"/>
    <x v="0"/>
    <x v="0"/>
    <m/>
    <m/>
    <m/>
    <m/>
  </r>
  <r>
    <m/>
    <x v="0"/>
    <x v="4"/>
    <x v="1"/>
    <n v="3"/>
    <n v="3"/>
    <n v="3"/>
    <x v="1"/>
    <n v="3"/>
    <x v="2"/>
    <n v="2"/>
    <n v="2"/>
    <n v="2"/>
    <n v="3"/>
    <n v="3"/>
    <n v="3"/>
    <n v="2"/>
    <n v="3"/>
    <n v="2"/>
    <n v="3"/>
    <n v="2"/>
    <n v="3"/>
    <x v="0"/>
    <x v="0"/>
    <x v="0"/>
    <n v="3"/>
    <n v="2"/>
    <x v="1"/>
    <n v="4"/>
    <n v="4"/>
    <n v="4"/>
    <n v="4"/>
    <n v="4"/>
    <n v="3"/>
    <x v="0"/>
    <x v="4"/>
    <x v="0"/>
    <x v="0"/>
    <x v="0"/>
    <x v="0"/>
    <x v="0"/>
    <x v="0"/>
    <x v="0"/>
    <x v="0"/>
    <x v="0"/>
    <x v="0"/>
    <x v="0"/>
    <x v="0"/>
    <x v="0"/>
    <x v="0"/>
    <x v="0"/>
    <x v="0"/>
    <x v="0"/>
    <x v="0"/>
    <x v="0"/>
    <x v="0"/>
    <m/>
    <m/>
    <m/>
    <m/>
  </r>
  <r>
    <m/>
    <x v="0"/>
    <x v="4"/>
    <x v="0"/>
    <n v="9"/>
    <n v="9"/>
    <n v="9"/>
    <x v="4"/>
    <n v="9"/>
    <x v="3"/>
    <n v="5"/>
    <n v="9"/>
    <n v="9"/>
    <n v="9"/>
    <n v="9"/>
    <n v="9"/>
    <n v="9"/>
    <n v="9"/>
    <n v="9"/>
    <n v="9"/>
    <n v="9"/>
    <n v="4"/>
    <x v="0"/>
    <x v="0"/>
    <x v="0"/>
    <n v="9"/>
    <n v="9"/>
    <x v="2"/>
    <n v="4"/>
    <n v="4"/>
    <n v="4"/>
    <n v="4"/>
    <n v="4"/>
    <n v="9"/>
    <x v="5"/>
    <x v="5"/>
    <x v="0"/>
    <x v="0"/>
    <x v="0"/>
    <x v="0"/>
    <x v="0"/>
    <x v="0"/>
    <x v="0"/>
    <x v="0"/>
    <x v="0"/>
    <x v="0"/>
    <x v="0"/>
    <x v="0"/>
    <x v="0"/>
    <x v="0"/>
    <x v="0"/>
    <x v="0"/>
    <x v="0"/>
    <x v="0"/>
    <x v="0"/>
    <x v="0"/>
    <m/>
    <m/>
    <m/>
    <m/>
  </r>
  <r>
    <m/>
    <x v="0"/>
    <x v="4"/>
    <x v="1"/>
    <n v="9"/>
    <n v="9"/>
    <n v="9"/>
    <x v="4"/>
    <n v="9"/>
    <x v="2"/>
    <n v="3"/>
    <n v="9"/>
    <n v="9"/>
    <n v="9"/>
    <n v="3"/>
    <n v="3"/>
    <n v="5"/>
    <n v="9"/>
    <n v="9"/>
    <n v="9"/>
    <n v="9"/>
    <n v="9"/>
    <x v="0"/>
    <x v="0"/>
    <x v="0"/>
    <n v="9"/>
    <n v="9"/>
    <x v="2"/>
    <n v="4"/>
    <n v="4"/>
    <n v="4"/>
    <n v="4"/>
    <n v="4"/>
    <n v="9"/>
    <x v="0"/>
    <x v="3"/>
    <x v="0"/>
    <x v="0"/>
    <x v="0"/>
    <x v="0"/>
    <x v="0"/>
    <x v="0"/>
    <x v="0"/>
    <x v="0"/>
    <x v="0"/>
    <x v="0"/>
    <x v="0"/>
    <x v="0"/>
    <x v="0"/>
    <x v="0"/>
    <x v="0"/>
    <x v="0"/>
    <x v="0"/>
    <x v="0"/>
    <x v="0"/>
    <x v="0"/>
    <m/>
    <m/>
    <m/>
    <m/>
  </r>
  <r>
    <m/>
    <x v="0"/>
    <x v="4"/>
    <x v="0"/>
    <n v="3"/>
    <n v="2"/>
    <n v="4"/>
    <x v="0"/>
    <n v="3"/>
    <x v="0"/>
    <n v="2"/>
    <n v="3"/>
    <n v="5"/>
    <n v="5"/>
    <n v="3"/>
    <n v="4"/>
    <n v="3"/>
    <n v="4"/>
    <n v="5"/>
    <n v="4"/>
    <n v="3"/>
    <n v="3"/>
    <x v="0"/>
    <x v="0"/>
    <x v="1"/>
    <n v="5"/>
    <n v="5"/>
    <x v="1"/>
    <n v="3"/>
    <n v="3"/>
    <n v="3"/>
    <n v="3"/>
    <n v="3"/>
    <n v="5"/>
    <x v="1"/>
    <x v="2"/>
    <x v="0"/>
    <x v="0"/>
    <x v="0"/>
    <x v="0"/>
    <x v="0"/>
    <x v="0"/>
    <x v="0"/>
    <x v="0"/>
    <x v="0"/>
    <x v="0"/>
    <x v="0"/>
    <x v="0"/>
    <x v="0"/>
    <x v="0"/>
    <x v="0"/>
    <x v="0"/>
    <x v="0"/>
    <x v="0"/>
    <x v="0"/>
    <x v="0"/>
    <m/>
    <m/>
    <m/>
    <m/>
  </r>
  <r>
    <m/>
    <x v="0"/>
    <x v="4"/>
    <x v="1"/>
    <n v="9"/>
    <n v="9"/>
    <n v="9"/>
    <x v="4"/>
    <n v="9"/>
    <x v="5"/>
    <n v="1"/>
    <n v="9"/>
    <n v="9"/>
    <n v="9"/>
    <n v="9"/>
    <n v="9"/>
    <n v="9"/>
    <n v="9"/>
    <n v="9"/>
    <n v="9"/>
    <n v="9"/>
    <n v="9"/>
    <x v="4"/>
    <x v="4"/>
    <x v="1"/>
    <n v="9"/>
    <n v="9"/>
    <x v="2"/>
    <n v="4"/>
    <n v="4"/>
    <n v="9"/>
    <n v="9"/>
    <n v="9"/>
    <n v="9"/>
    <x v="5"/>
    <x v="5"/>
    <x v="0"/>
    <x v="0"/>
    <x v="0"/>
    <x v="0"/>
    <x v="0"/>
    <x v="0"/>
    <x v="0"/>
    <x v="0"/>
    <x v="0"/>
    <x v="0"/>
    <x v="0"/>
    <x v="0"/>
    <x v="0"/>
    <x v="0"/>
    <x v="0"/>
    <x v="0"/>
    <x v="0"/>
    <x v="0"/>
    <x v="0"/>
    <x v="0"/>
    <m/>
    <m/>
    <m/>
    <m/>
  </r>
  <r>
    <m/>
    <x v="0"/>
    <x v="4"/>
    <x v="1"/>
    <n v="9"/>
    <n v="9"/>
    <n v="9"/>
    <x v="4"/>
    <n v="9"/>
    <x v="2"/>
    <n v="1"/>
    <n v="9"/>
    <n v="9"/>
    <n v="9"/>
    <n v="4"/>
    <n v="4"/>
    <n v="9"/>
    <n v="9"/>
    <n v="9"/>
    <n v="9"/>
    <n v="9"/>
    <n v="9"/>
    <x v="2"/>
    <x v="5"/>
    <x v="1"/>
    <n v="9"/>
    <n v="9"/>
    <x v="2"/>
    <n v="4"/>
    <n v="4"/>
    <n v="3"/>
    <n v="9"/>
    <n v="4"/>
    <n v="9"/>
    <x v="2"/>
    <x v="5"/>
    <x v="0"/>
    <x v="0"/>
    <x v="0"/>
    <x v="0"/>
    <x v="0"/>
    <x v="0"/>
    <x v="0"/>
    <x v="0"/>
    <x v="0"/>
    <x v="0"/>
    <x v="0"/>
    <x v="0"/>
    <x v="0"/>
    <x v="0"/>
    <x v="0"/>
    <x v="0"/>
    <x v="0"/>
    <x v="0"/>
    <x v="0"/>
    <x v="0"/>
    <m/>
    <m/>
    <m/>
    <m/>
  </r>
  <r>
    <m/>
    <x v="0"/>
    <x v="4"/>
    <x v="1"/>
    <n v="5"/>
    <n v="4"/>
    <n v="3"/>
    <x v="2"/>
    <n v="4"/>
    <x v="1"/>
    <n v="1"/>
    <n v="4"/>
    <n v="1"/>
    <n v="3"/>
    <n v="5"/>
    <n v="4"/>
    <n v="1"/>
    <n v="4"/>
    <n v="2"/>
    <n v="3"/>
    <n v="4"/>
    <n v="3"/>
    <x v="2"/>
    <x v="0"/>
    <x v="1"/>
    <n v="4"/>
    <n v="4"/>
    <x v="0"/>
    <n v="2"/>
    <n v="4"/>
    <n v="4"/>
    <n v="4"/>
    <n v="4"/>
    <n v="3"/>
    <x v="0"/>
    <x v="4"/>
    <x v="0"/>
    <x v="0"/>
    <x v="0"/>
    <x v="0"/>
    <x v="0"/>
    <x v="0"/>
    <x v="0"/>
    <x v="0"/>
    <x v="0"/>
    <x v="0"/>
    <x v="0"/>
    <x v="0"/>
    <x v="0"/>
    <x v="0"/>
    <x v="0"/>
    <x v="0"/>
    <x v="0"/>
    <x v="0"/>
    <x v="0"/>
    <x v="0"/>
    <m/>
    <m/>
    <m/>
    <m/>
  </r>
  <r>
    <m/>
    <x v="0"/>
    <x v="4"/>
    <x v="0"/>
    <n v="4"/>
    <n v="1"/>
    <n v="3"/>
    <x v="0"/>
    <n v="4"/>
    <x v="0"/>
    <n v="4"/>
    <n v="3"/>
    <n v="4"/>
    <n v="4"/>
    <n v="4"/>
    <n v="4"/>
    <n v="3"/>
    <n v="3"/>
    <n v="3"/>
    <n v="3"/>
    <n v="2"/>
    <n v="3"/>
    <x v="0"/>
    <x v="0"/>
    <x v="0"/>
    <n v="4"/>
    <n v="4"/>
    <x v="0"/>
    <n v="2"/>
    <n v="3"/>
    <n v="3"/>
    <n v="3"/>
    <n v="3"/>
    <n v="4"/>
    <x v="0"/>
    <x v="2"/>
    <x v="0"/>
    <x v="0"/>
    <x v="0"/>
    <x v="0"/>
    <x v="0"/>
    <x v="0"/>
    <x v="0"/>
    <x v="0"/>
    <x v="0"/>
    <x v="0"/>
    <x v="0"/>
    <x v="0"/>
    <x v="0"/>
    <x v="0"/>
    <x v="0"/>
    <x v="0"/>
    <x v="0"/>
    <x v="0"/>
    <x v="0"/>
    <x v="0"/>
    <m/>
    <m/>
    <m/>
    <m/>
  </r>
  <r>
    <m/>
    <x v="0"/>
    <x v="4"/>
    <x v="0"/>
    <n v="3"/>
    <n v="4"/>
    <n v="4"/>
    <x v="0"/>
    <n v="4"/>
    <x v="0"/>
    <n v="2"/>
    <n v="4"/>
    <n v="3"/>
    <n v="4"/>
    <n v="4"/>
    <n v="4"/>
    <n v="4"/>
    <n v="4"/>
    <n v="3"/>
    <n v="4"/>
    <n v="2"/>
    <n v="9"/>
    <x v="0"/>
    <x v="0"/>
    <x v="0"/>
    <n v="4"/>
    <n v="4"/>
    <x v="0"/>
    <n v="2"/>
    <n v="3"/>
    <n v="3"/>
    <n v="4"/>
    <n v="3"/>
    <n v="4"/>
    <x v="0"/>
    <x v="0"/>
    <x v="0"/>
    <x v="0"/>
    <x v="0"/>
    <x v="0"/>
    <x v="0"/>
    <x v="0"/>
    <x v="0"/>
    <x v="0"/>
    <x v="0"/>
    <x v="0"/>
    <x v="0"/>
    <x v="0"/>
    <x v="0"/>
    <x v="0"/>
    <x v="0"/>
    <x v="0"/>
    <x v="0"/>
    <x v="0"/>
    <x v="0"/>
    <x v="0"/>
    <m/>
    <m/>
    <m/>
    <m/>
  </r>
  <r>
    <m/>
    <x v="0"/>
    <x v="4"/>
    <x v="0"/>
    <n v="5"/>
    <n v="3"/>
    <n v="5"/>
    <x v="1"/>
    <n v="3"/>
    <x v="3"/>
    <n v="5"/>
    <n v="3"/>
    <n v="3"/>
    <n v="5"/>
    <n v="5"/>
    <n v="3"/>
    <n v="3"/>
    <n v="3"/>
    <n v="5"/>
    <n v="3"/>
    <n v="1"/>
    <n v="3"/>
    <x v="0"/>
    <x v="0"/>
    <x v="1"/>
    <n v="5"/>
    <n v="5"/>
    <x v="0"/>
    <n v="5"/>
    <n v="4"/>
    <n v="4"/>
    <n v="5"/>
    <n v="4"/>
    <n v="5"/>
    <x v="0"/>
    <x v="3"/>
    <x v="0"/>
    <x v="0"/>
    <x v="0"/>
    <x v="0"/>
    <x v="0"/>
    <x v="0"/>
    <x v="0"/>
    <x v="0"/>
    <x v="0"/>
    <x v="0"/>
    <x v="0"/>
    <x v="0"/>
    <x v="0"/>
    <x v="0"/>
    <x v="0"/>
    <x v="0"/>
    <x v="0"/>
    <x v="0"/>
    <x v="0"/>
    <x v="0"/>
    <m/>
    <m/>
    <m/>
    <m/>
  </r>
  <r>
    <m/>
    <x v="1"/>
    <x v="4"/>
    <x v="0"/>
    <m/>
    <m/>
    <m/>
    <x v="0"/>
    <m/>
    <x v="3"/>
    <m/>
    <m/>
    <m/>
    <m/>
    <m/>
    <m/>
    <m/>
    <m/>
    <m/>
    <m/>
    <m/>
    <m/>
    <x v="0"/>
    <x v="0"/>
    <x v="0"/>
    <m/>
    <m/>
    <x v="1"/>
    <m/>
    <m/>
    <m/>
    <m/>
    <m/>
    <m/>
    <x v="0"/>
    <x v="3"/>
    <x v="1"/>
    <x v="1"/>
    <x v="1"/>
    <x v="1"/>
    <x v="1"/>
    <x v="1"/>
    <x v="1"/>
    <x v="1"/>
    <x v="1"/>
    <x v="1"/>
    <x v="1"/>
    <x v="1"/>
    <x v="1"/>
    <x v="1"/>
    <x v="1"/>
    <x v="1"/>
    <x v="1"/>
    <x v="1"/>
    <x v="1"/>
    <x v="1"/>
    <m/>
    <m/>
    <m/>
    <m/>
  </r>
  <r>
    <m/>
    <x v="1"/>
    <x v="4"/>
    <x v="1"/>
    <m/>
    <m/>
    <m/>
    <x v="0"/>
    <m/>
    <x v="5"/>
    <m/>
    <m/>
    <m/>
    <m/>
    <m/>
    <m/>
    <m/>
    <m/>
    <m/>
    <m/>
    <m/>
    <m/>
    <x v="3"/>
    <x v="0"/>
    <x v="1"/>
    <m/>
    <m/>
    <x v="2"/>
    <m/>
    <m/>
    <m/>
    <m/>
    <m/>
    <m/>
    <x v="0"/>
    <x v="5"/>
    <x v="0"/>
    <x v="2"/>
    <x v="2"/>
    <x v="0"/>
    <x v="1"/>
    <x v="0"/>
    <x v="1"/>
    <x v="2"/>
    <x v="0"/>
    <x v="2"/>
    <x v="0"/>
    <x v="1"/>
    <x v="2"/>
    <x v="0"/>
    <x v="2"/>
    <x v="2"/>
    <x v="2"/>
    <x v="2"/>
    <x v="0"/>
    <x v="0"/>
    <m/>
    <m/>
    <m/>
    <m/>
  </r>
  <r>
    <m/>
    <x v="1"/>
    <x v="4"/>
    <x v="0"/>
    <m/>
    <m/>
    <m/>
    <x v="0"/>
    <m/>
    <x v="0"/>
    <m/>
    <m/>
    <m/>
    <m/>
    <m/>
    <m/>
    <m/>
    <m/>
    <m/>
    <m/>
    <m/>
    <m/>
    <x v="5"/>
    <x v="2"/>
    <x v="0"/>
    <m/>
    <m/>
    <x v="0"/>
    <m/>
    <m/>
    <m/>
    <m/>
    <m/>
    <m/>
    <x v="1"/>
    <x v="0"/>
    <x v="2"/>
    <x v="2"/>
    <x v="2"/>
    <x v="2"/>
    <x v="1"/>
    <x v="1"/>
    <x v="1"/>
    <x v="2"/>
    <x v="1"/>
    <x v="3"/>
    <x v="2"/>
    <x v="1"/>
    <x v="2"/>
    <x v="1"/>
    <x v="2"/>
    <x v="2"/>
    <x v="2"/>
    <x v="2"/>
    <x v="2"/>
    <x v="1"/>
    <m/>
    <m/>
    <m/>
    <m/>
  </r>
  <r>
    <m/>
    <x v="1"/>
    <x v="4"/>
    <x v="1"/>
    <m/>
    <m/>
    <m/>
    <x v="0"/>
    <m/>
    <x v="0"/>
    <m/>
    <m/>
    <m/>
    <m/>
    <m/>
    <m/>
    <m/>
    <m/>
    <m/>
    <m/>
    <m/>
    <m/>
    <x v="5"/>
    <x v="0"/>
    <x v="0"/>
    <m/>
    <m/>
    <x v="3"/>
    <m/>
    <m/>
    <m/>
    <m/>
    <m/>
    <m/>
    <x v="0"/>
    <x v="3"/>
    <x v="1"/>
    <x v="3"/>
    <x v="2"/>
    <x v="2"/>
    <x v="1"/>
    <x v="2"/>
    <x v="2"/>
    <x v="2"/>
    <x v="1"/>
    <x v="2"/>
    <x v="1"/>
    <x v="2"/>
    <x v="2"/>
    <x v="2"/>
    <x v="2"/>
    <x v="2"/>
    <x v="3"/>
    <x v="2"/>
    <x v="3"/>
    <x v="2"/>
    <m/>
    <m/>
    <m/>
    <m/>
  </r>
  <r>
    <m/>
    <x v="1"/>
    <x v="4"/>
    <x v="1"/>
    <m/>
    <m/>
    <m/>
    <x v="4"/>
    <m/>
    <x v="5"/>
    <m/>
    <m/>
    <m/>
    <m/>
    <m/>
    <m/>
    <m/>
    <m/>
    <m/>
    <m/>
    <m/>
    <m/>
    <x v="4"/>
    <x v="0"/>
    <x v="0"/>
    <m/>
    <m/>
    <x v="2"/>
    <m/>
    <m/>
    <m/>
    <m/>
    <m/>
    <m/>
    <x v="0"/>
    <x v="5"/>
    <x v="0"/>
    <x v="0"/>
    <x v="0"/>
    <x v="0"/>
    <x v="0"/>
    <x v="0"/>
    <x v="0"/>
    <x v="0"/>
    <x v="0"/>
    <x v="3"/>
    <x v="0"/>
    <x v="0"/>
    <x v="2"/>
    <x v="2"/>
    <x v="2"/>
    <x v="2"/>
    <x v="2"/>
    <x v="2"/>
    <x v="0"/>
    <x v="0"/>
    <m/>
    <m/>
    <m/>
    <m/>
  </r>
  <r>
    <m/>
    <x v="1"/>
    <x v="4"/>
    <x v="0"/>
    <m/>
    <m/>
    <m/>
    <x v="0"/>
    <m/>
    <x v="0"/>
    <m/>
    <m/>
    <m/>
    <m/>
    <m/>
    <m/>
    <m/>
    <m/>
    <m/>
    <m/>
    <m/>
    <m/>
    <x v="3"/>
    <x v="0"/>
    <x v="0"/>
    <m/>
    <m/>
    <x v="2"/>
    <m/>
    <m/>
    <m/>
    <m/>
    <m/>
    <m/>
    <x v="0"/>
    <x v="5"/>
    <x v="0"/>
    <x v="2"/>
    <x v="2"/>
    <x v="2"/>
    <x v="1"/>
    <x v="0"/>
    <x v="1"/>
    <x v="2"/>
    <x v="0"/>
    <x v="2"/>
    <x v="0"/>
    <x v="1"/>
    <x v="2"/>
    <x v="0"/>
    <x v="2"/>
    <x v="2"/>
    <x v="2"/>
    <x v="2"/>
    <x v="0"/>
    <x v="0"/>
    <m/>
    <m/>
    <m/>
    <m/>
  </r>
  <r>
    <m/>
    <x v="1"/>
    <x v="4"/>
    <x v="1"/>
    <m/>
    <m/>
    <m/>
    <x v="0"/>
    <m/>
    <x v="0"/>
    <m/>
    <m/>
    <m/>
    <m/>
    <m/>
    <m/>
    <m/>
    <m/>
    <m/>
    <m/>
    <m/>
    <m/>
    <x v="3"/>
    <x v="0"/>
    <x v="0"/>
    <m/>
    <m/>
    <x v="2"/>
    <m/>
    <m/>
    <m/>
    <m/>
    <m/>
    <m/>
    <x v="0"/>
    <x v="5"/>
    <x v="0"/>
    <x v="2"/>
    <x v="2"/>
    <x v="2"/>
    <x v="1"/>
    <x v="0"/>
    <x v="1"/>
    <x v="2"/>
    <x v="0"/>
    <x v="2"/>
    <x v="0"/>
    <x v="1"/>
    <x v="2"/>
    <x v="0"/>
    <x v="2"/>
    <x v="2"/>
    <x v="2"/>
    <x v="2"/>
    <x v="0"/>
    <x v="0"/>
    <m/>
    <m/>
    <m/>
    <m/>
  </r>
  <r>
    <m/>
    <x v="1"/>
    <x v="4"/>
    <x v="0"/>
    <m/>
    <m/>
    <m/>
    <x v="0"/>
    <m/>
    <x v="0"/>
    <m/>
    <m/>
    <m/>
    <m/>
    <m/>
    <m/>
    <m/>
    <m/>
    <m/>
    <m/>
    <m/>
    <m/>
    <x v="0"/>
    <x v="2"/>
    <x v="0"/>
    <m/>
    <m/>
    <x v="0"/>
    <m/>
    <m/>
    <m/>
    <m/>
    <m/>
    <m/>
    <x v="0"/>
    <x v="0"/>
    <x v="3"/>
    <x v="2"/>
    <x v="2"/>
    <x v="2"/>
    <x v="2"/>
    <x v="1"/>
    <x v="1"/>
    <x v="2"/>
    <x v="1"/>
    <x v="3"/>
    <x v="2"/>
    <x v="1"/>
    <x v="2"/>
    <x v="1"/>
    <x v="2"/>
    <x v="2"/>
    <x v="2"/>
    <x v="1"/>
    <x v="0"/>
    <x v="1"/>
    <m/>
    <m/>
    <m/>
    <m/>
  </r>
  <r>
    <m/>
    <x v="1"/>
    <x v="4"/>
    <x v="0"/>
    <m/>
    <m/>
    <m/>
    <x v="1"/>
    <m/>
    <x v="0"/>
    <m/>
    <m/>
    <m/>
    <m/>
    <m/>
    <m/>
    <m/>
    <m/>
    <m/>
    <m/>
    <m/>
    <m/>
    <x v="0"/>
    <x v="0"/>
    <x v="0"/>
    <m/>
    <m/>
    <x v="0"/>
    <m/>
    <m/>
    <m/>
    <m/>
    <m/>
    <m/>
    <x v="0"/>
    <x v="0"/>
    <x v="0"/>
    <x v="3"/>
    <x v="2"/>
    <x v="2"/>
    <x v="3"/>
    <x v="2"/>
    <x v="2"/>
    <x v="3"/>
    <x v="1"/>
    <x v="2"/>
    <x v="1"/>
    <x v="1"/>
    <x v="2"/>
    <x v="1"/>
    <x v="2"/>
    <x v="3"/>
    <x v="2"/>
    <x v="2"/>
    <x v="2"/>
    <x v="1"/>
    <m/>
    <m/>
    <m/>
    <m/>
  </r>
  <r>
    <m/>
    <x v="1"/>
    <x v="4"/>
    <x v="0"/>
    <m/>
    <m/>
    <m/>
    <x v="0"/>
    <m/>
    <x v="0"/>
    <m/>
    <m/>
    <m/>
    <m/>
    <m/>
    <m/>
    <m/>
    <m/>
    <m/>
    <m/>
    <m/>
    <m/>
    <x v="0"/>
    <x v="0"/>
    <x v="0"/>
    <m/>
    <m/>
    <x v="0"/>
    <m/>
    <m/>
    <m/>
    <m/>
    <m/>
    <m/>
    <x v="0"/>
    <x v="0"/>
    <x v="1"/>
    <x v="2"/>
    <x v="2"/>
    <x v="2"/>
    <x v="4"/>
    <x v="3"/>
    <x v="1"/>
    <x v="1"/>
    <x v="1"/>
    <x v="3"/>
    <x v="2"/>
    <x v="1"/>
    <x v="2"/>
    <x v="1"/>
    <x v="2"/>
    <x v="2"/>
    <x v="2"/>
    <x v="2"/>
    <x v="2"/>
    <x v="2"/>
    <m/>
    <m/>
    <m/>
    <m/>
  </r>
  <r>
    <m/>
    <x v="1"/>
    <x v="4"/>
    <x v="0"/>
    <m/>
    <m/>
    <m/>
    <x v="0"/>
    <m/>
    <x v="0"/>
    <m/>
    <m/>
    <m/>
    <m/>
    <m/>
    <m/>
    <m/>
    <m/>
    <m/>
    <m/>
    <m/>
    <m/>
    <x v="2"/>
    <x v="0"/>
    <x v="0"/>
    <m/>
    <m/>
    <x v="0"/>
    <m/>
    <m/>
    <m/>
    <m/>
    <m/>
    <m/>
    <x v="0"/>
    <x v="0"/>
    <x v="1"/>
    <x v="2"/>
    <x v="2"/>
    <x v="2"/>
    <x v="1"/>
    <x v="1"/>
    <x v="2"/>
    <x v="2"/>
    <x v="1"/>
    <x v="3"/>
    <x v="2"/>
    <x v="1"/>
    <x v="2"/>
    <x v="1"/>
    <x v="1"/>
    <x v="2"/>
    <x v="2"/>
    <x v="1"/>
    <x v="2"/>
    <x v="1"/>
    <m/>
    <m/>
    <m/>
    <m/>
  </r>
  <r>
    <m/>
    <x v="1"/>
    <x v="4"/>
    <x v="0"/>
    <m/>
    <m/>
    <m/>
    <x v="0"/>
    <m/>
    <x v="0"/>
    <m/>
    <m/>
    <m/>
    <m/>
    <m/>
    <m/>
    <m/>
    <m/>
    <m/>
    <m/>
    <m/>
    <m/>
    <x v="0"/>
    <x v="0"/>
    <x v="0"/>
    <m/>
    <m/>
    <x v="0"/>
    <m/>
    <m/>
    <m/>
    <m/>
    <m/>
    <m/>
    <x v="0"/>
    <x v="0"/>
    <x v="1"/>
    <x v="2"/>
    <x v="2"/>
    <x v="2"/>
    <x v="1"/>
    <x v="1"/>
    <x v="1"/>
    <x v="1"/>
    <x v="1"/>
    <x v="3"/>
    <x v="2"/>
    <x v="1"/>
    <x v="2"/>
    <x v="1"/>
    <x v="3"/>
    <x v="2"/>
    <x v="2"/>
    <x v="1"/>
    <x v="2"/>
    <x v="1"/>
    <m/>
    <m/>
    <m/>
    <m/>
  </r>
  <r>
    <m/>
    <x v="1"/>
    <x v="4"/>
    <x v="1"/>
    <m/>
    <m/>
    <m/>
    <x v="0"/>
    <m/>
    <x v="0"/>
    <m/>
    <m/>
    <m/>
    <m/>
    <m/>
    <m/>
    <m/>
    <m/>
    <m/>
    <m/>
    <m/>
    <m/>
    <x v="0"/>
    <x v="0"/>
    <x v="0"/>
    <m/>
    <m/>
    <x v="0"/>
    <m/>
    <m/>
    <m/>
    <m/>
    <m/>
    <m/>
    <x v="0"/>
    <x v="0"/>
    <x v="1"/>
    <x v="2"/>
    <x v="2"/>
    <x v="2"/>
    <x v="1"/>
    <x v="1"/>
    <x v="1"/>
    <x v="2"/>
    <x v="1"/>
    <x v="3"/>
    <x v="2"/>
    <x v="1"/>
    <x v="2"/>
    <x v="1"/>
    <x v="2"/>
    <x v="2"/>
    <x v="2"/>
    <x v="2"/>
    <x v="2"/>
    <x v="1"/>
    <m/>
    <m/>
    <m/>
    <m/>
  </r>
  <r>
    <m/>
    <x v="1"/>
    <x v="4"/>
    <x v="0"/>
    <m/>
    <m/>
    <m/>
    <x v="0"/>
    <m/>
    <x v="0"/>
    <m/>
    <m/>
    <m/>
    <m/>
    <m/>
    <m/>
    <m/>
    <m/>
    <m/>
    <m/>
    <m/>
    <m/>
    <x v="4"/>
    <x v="0"/>
    <x v="0"/>
    <m/>
    <m/>
    <x v="2"/>
    <m/>
    <m/>
    <m/>
    <m/>
    <m/>
    <m/>
    <x v="0"/>
    <x v="0"/>
    <x v="1"/>
    <x v="2"/>
    <x v="2"/>
    <x v="2"/>
    <x v="1"/>
    <x v="1"/>
    <x v="1"/>
    <x v="2"/>
    <x v="1"/>
    <x v="2"/>
    <x v="3"/>
    <x v="1"/>
    <x v="2"/>
    <x v="1"/>
    <x v="2"/>
    <x v="2"/>
    <x v="3"/>
    <x v="2"/>
    <x v="2"/>
    <x v="1"/>
    <m/>
    <m/>
    <m/>
    <m/>
  </r>
  <r>
    <m/>
    <x v="1"/>
    <x v="4"/>
    <x v="1"/>
    <m/>
    <m/>
    <m/>
    <x v="0"/>
    <m/>
    <x v="0"/>
    <m/>
    <m/>
    <m/>
    <m/>
    <m/>
    <m/>
    <m/>
    <m/>
    <m/>
    <m/>
    <m/>
    <m/>
    <x v="4"/>
    <x v="0"/>
    <x v="0"/>
    <m/>
    <m/>
    <x v="2"/>
    <m/>
    <m/>
    <m/>
    <m/>
    <m/>
    <m/>
    <x v="0"/>
    <x v="0"/>
    <x v="1"/>
    <x v="2"/>
    <x v="2"/>
    <x v="2"/>
    <x v="1"/>
    <x v="1"/>
    <x v="1"/>
    <x v="2"/>
    <x v="1"/>
    <x v="2"/>
    <x v="3"/>
    <x v="2"/>
    <x v="2"/>
    <x v="1"/>
    <x v="2"/>
    <x v="2"/>
    <x v="3"/>
    <x v="2"/>
    <x v="2"/>
    <x v="1"/>
    <m/>
    <m/>
    <m/>
    <m/>
  </r>
  <r>
    <m/>
    <x v="1"/>
    <x v="4"/>
    <x v="0"/>
    <m/>
    <m/>
    <m/>
    <x v="0"/>
    <m/>
    <x v="0"/>
    <m/>
    <m/>
    <m/>
    <m/>
    <m/>
    <m/>
    <m/>
    <m/>
    <m/>
    <m/>
    <m/>
    <m/>
    <x v="0"/>
    <x v="0"/>
    <x v="0"/>
    <m/>
    <m/>
    <x v="2"/>
    <m/>
    <m/>
    <m/>
    <m/>
    <m/>
    <m/>
    <x v="0"/>
    <x v="0"/>
    <x v="1"/>
    <x v="2"/>
    <x v="2"/>
    <x v="2"/>
    <x v="1"/>
    <x v="1"/>
    <x v="1"/>
    <x v="2"/>
    <x v="2"/>
    <x v="2"/>
    <x v="3"/>
    <x v="1"/>
    <x v="2"/>
    <x v="1"/>
    <x v="2"/>
    <x v="2"/>
    <x v="3"/>
    <x v="2"/>
    <x v="2"/>
    <x v="1"/>
    <m/>
    <m/>
    <m/>
    <m/>
  </r>
  <r>
    <m/>
    <x v="1"/>
    <x v="4"/>
    <x v="1"/>
    <m/>
    <m/>
    <m/>
    <x v="0"/>
    <m/>
    <x v="0"/>
    <m/>
    <m/>
    <m/>
    <m/>
    <m/>
    <m/>
    <m/>
    <m/>
    <m/>
    <m/>
    <m/>
    <m/>
    <x v="0"/>
    <x v="0"/>
    <x v="0"/>
    <m/>
    <m/>
    <x v="2"/>
    <m/>
    <m/>
    <m/>
    <m/>
    <m/>
    <m/>
    <x v="0"/>
    <x v="0"/>
    <x v="1"/>
    <x v="2"/>
    <x v="2"/>
    <x v="2"/>
    <x v="1"/>
    <x v="1"/>
    <x v="1"/>
    <x v="2"/>
    <x v="2"/>
    <x v="2"/>
    <x v="3"/>
    <x v="1"/>
    <x v="2"/>
    <x v="1"/>
    <x v="2"/>
    <x v="2"/>
    <x v="3"/>
    <x v="2"/>
    <x v="2"/>
    <x v="1"/>
    <m/>
    <m/>
    <m/>
    <m/>
  </r>
  <r>
    <m/>
    <x v="1"/>
    <x v="4"/>
    <x v="1"/>
    <m/>
    <m/>
    <m/>
    <x v="0"/>
    <m/>
    <x v="0"/>
    <m/>
    <m/>
    <m/>
    <m/>
    <m/>
    <m/>
    <m/>
    <m/>
    <m/>
    <m/>
    <m/>
    <m/>
    <x v="5"/>
    <x v="2"/>
    <x v="0"/>
    <m/>
    <m/>
    <x v="0"/>
    <m/>
    <m/>
    <m/>
    <m/>
    <m/>
    <m/>
    <x v="0"/>
    <x v="0"/>
    <x v="1"/>
    <x v="2"/>
    <x v="2"/>
    <x v="2"/>
    <x v="1"/>
    <x v="1"/>
    <x v="1"/>
    <x v="2"/>
    <x v="1"/>
    <x v="3"/>
    <x v="2"/>
    <x v="1"/>
    <x v="2"/>
    <x v="1"/>
    <x v="2"/>
    <x v="2"/>
    <x v="2"/>
    <x v="2"/>
    <x v="2"/>
    <x v="1"/>
    <m/>
    <m/>
    <m/>
    <m/>
  </r>
  <r>
    <m/>
    <x v="1"/>
    <x v="4"/>
    <x v="1"/>
    <m/>
    <m/>
    <m/>
    <x v="1"/>
    <m/>
    <x v="2"/>
    <m/>
    <m/>
    <m/>
    <m/>
    <m/>
    <m/>
    <m/>
    <m/>
    <m/>
    <m/>
    <m/>
    <m/>
    <x v="5"/>
    <x v="3"/>
    <x v="3"/>
    <m/>
    <m/>
    <x v="1"/>
    <m/>
    <m/>
    <m/>
    <m/>
    <m/>
    <m/>
    <x v="2"/>
    <x v="0"/>
    <x v="1"/>
    <x v="1"/>
    <x v="3"/>
    <x v="3"/>
    <x v="4"/>
    <x v="4"/>
    <x v="2"/>
    <x v="2"/>
    <x v="3"/>
    <x v="1"/>
    <x v="4"/>
    <x v="2"/>
    <x v="3"/>
    <x v="1"/>
    <x v="1"/>
    <x v="4"/>
    <x v="2"/>
    <x v="3"/>
    <x v="3"/>
    <x v="3"/>
    <m/>
    <m/>
    <m/>
    <m/>
  </r>
  <r>
    <m/>
    <x v="1"/>
    <x v="4"/>
    <x v="1"/>
    <m/>
    <m/>
    <m/>
    <x v="1"/>
    <m/>
    <x v="2"/>
    <m/>
    <m/>
    <m/>
    <m/>
    <m/>
    <m/>
    <m/>
    <m/>
    <m/>
    <m/>
    <m/>
    <m/>
    <x v="0"/>
    <x v="0"/>
    <x v="1"/>
    <m/>
    <m/>
    <x v="0"/>
    <m/>
    <m/>
    <m/>
    <m/>
    <m/>
    <m/>
    <x v="1"/>
    <x v="3"/>
    <x v="2"/>
    <x v="2"/>
    <x v="2"/>
    <x v="3"/>
    <x v="1"/>
    <x v="2"/>
    <x v="2"/>
    <x v="3"/>
    <x v="2"/>
    <x v="3"/>
    <x v="2"/>
    <x v="2"/>
    <x v="1"/>
    <x v="2"/>
    <x v="4"/>
    <x v="3"/>
    <x v="3"/>
    <x v="4"/>
    <x v="1"/>
    <x v="1"/>
    <m/>
    <m/>
    <m/>
    <m/>
  </r>
  <r>
    <m/>
    <x v="1"/>
    <x v="4"/>
    <x v="1"/>
    <m/>
    <m/>
    <m/>
    <x v="0"/>
    <m/>
    <x v="0"/>
    <m/>
    <m/>
    <m/>
    <m/>
    <m/>
    <m/>
    <m/>
    <m/>
    <m/>
    <m/>
    <m/>
    <m/>
    <x v="0"/>
    <x v="0"/>
    <x v="0"/>
    <m/>
    <m/>
    <x v="0"/>
    <m/>
    <m/>
    <m/>
    <m/>
    <m/>
    <m/>
    <x v="4"/>
    <x v="1"/>
    <x v="4"/>
    <x v="2"/>
    <x v="2"/>
    <x v="2"/>
    <x v="1"/>
    <x v="1"/>
    <x v="1"/>
    <x v="2"/>
    <x v="1"/>
    <x v="3"/>
    <x v="2"/>
    <x v="1"/>
    <x v="2"/>
    <x v="1"/>
    <x v="3"/>
    <x v="4"/>
    <x v="2"/>
    <x v="2"/>
    <x v="2"/>
    <x v="0"/>
    <m/>
    <m/>
    <m/>
    <m/>
  </r>
  <r>
    <m/>
    <x v="1"/>
    <x v="4"/>
    <x v="1"/>
    <m/>
    <m/>
    <m/>
    <x v="0"/>
    <m/>
    <x v="0"/>
    <m/>
    <m/>
    <m/>
    <m/>
    <m/>
    <m/>
    <m/>
    <m/>
    <m/>
    <m/>
    <m/>
    <m/>
    <x v="0"/>
    <x v="0"/>
    <x v="0"/>
    <m/>
    <m/>
    <x v="0"/>
    <m/>
    <m/>
    <m/>
    <m/>
    <m/>
    <m/>
    <x v="0"/>
    <x v="0"/>
    <x v="1"/>
    <x v="2"/>
    <x v="2"/>
    <x v="2"/>
    <x v="1"/>
    <x v="1"/>
    <x v="1"/>
    <x v="2"/>
    <x v="1"/>
    <x v="3"/>
    <x v="2"/>
    <x v="1"/>
    <x v="2"/>
    <x v="1"/>
    <x v="2"/>
    <x v="2"/>
    <x v="2"/>
    <x v="2"/>
    <x v="2"/>
    <x v="1"/>
    <m/>
    <m/>
    <m/>
    <m/>
  </r>
  <r>
    <m/>
    <x v="1"/>
    <x v="4"/>
    <x v="1"/>
    <m/>
    <m/>
    <m/>
    <x v="0"/>
    <m/>
    <x v="0"/>
    <m/>
    <m/>
    <m/>
    <m/>
    <m/>
    <m/>
    <m/>
    <m/>
    <m/>
    <m/>
    <m/>
    <m/>
    <x v="0"/>
    <x v="0"/>
    <x v="0"/>
    <m/>
    <m/>
    <x v="0"/>
    <m/>
    <m/>
    <m/>
    <m/>
    <m/>
    <m/>
    <x v="0"/>
    <x v="0"/>
    <x v="2"/>
    <x v="2"/>
    <x v="2"/>
    <x v="2"/>
    <x v="3"/>
    <x v="1"/>
    <x v="1"/>
    <x v="3"/>
    <x v="1"/>
    <x v="3"/>
    <x v="2"/>
    <x v="1"/>
    <x v="2"/>
    <x v="1"/>
    <x v="2"/>
    <x v="2"/>
    <x v="2"/>
    <x v="2"/>
    <x v="2"/>
    <x v="2"/>
    <m/>
    <m/>
    <m/>
    <m/>
  </r>
  <r>
    <m/>
    <x v="1"/>
    <x v="4"/>
    <x v="0"/>
    <m/>
    <m/>
    <m/>
    <x v="0"/>
    <m/>
    <x v="0"/>
    <m/>
    <m/>
    <m/>
    <m/>
    <m/>
    <m/>
    <m/>
    <m/>
    <m/>
    <m/>
    <m/>
    <m/>
    <x v="2"/>
    <x v="0"/>
    <x v="0"/>
    <m/>
    <m/>
    <x v="0"/>
    <m/>
    <m/>
    <m/>
    <m/>
    <m/>
    <m/>
    <x v="0"/>
    <x v="0"/>
    <x v="4"/>
    <x v="2"/>
    <x v="4"/>
    <x v="2"/>
    <x v="1"/>
    <x v="2"/>
    <x v="3"/>
    <x v="2"/>
    <x v="1"/>
    <x v="3"/>
    <x v="2"/>
    <x v="1"/>
    <x v="2"/>
    <x v="1"/>
    <x v="2"/>
    <x v="2"/>
    <x v="2"/>
    <x v="2"/>
    <x v="2"/>
    <x v="1"/>
    <m/>
    <m/>
    <m/>
    <m/>
  </r>
  <r>
    <m/>
    <x v="1"/>
    <x v="4"/>
    <x v="0"/>
    <m/>
    <m/>
    <m/>
    <x v="0"/>
    <m/>
    <x v="0"/>
    <m/>
    <m/>
    <m/>
    <m/>
    <m/>
    <m/>
    <m/>
    <m/>
    <m/>
    <m/>
    <m/>
    <m/>
    <x v="5"/>
    <x v="5"/>
    <x v="0"/>
    <m/>
    <m/>
    <x v="0"/>
    <m/>
    <m/>
    <m/>
    <m/>
    <m/>
    <m/>
    <x v="0"/>
    <x v="0"/>
    <x v="1"/>
    <x v="2"/>
    <x v="2"/>
    <x v="2"/>
    <x v="1"/>
    <x v="1"/>
    <x v="1"/>
    <x v="2"/>
    <x v="1"/>
    <x v="3"/>
    <x v="2"/>
    <x v="1"/>
    <x v="2"/>
    <x v="1"/>
    <x v="2"/>
    <x v="2"/>
    <x v="2"/>
    <x v="2"/>
    <x v="2"/>
    <x v="1"/>
    <m/>
    <m/>
    <m/>
    <m/>
  </r>
  <r>
    <m/>
    <x v="1"/>
    <x v="4"/>
    <x v="0"/>
    <m/>
    <m/>
    <m/>
    <x v="0"/>
    <m/>
    <x v="1"/>
    <m/>
    <m/>
    <m/>
    <m/>
    <m/>
    <m/>
    <m/>
    <m/>
    <m/>
    <m/>
    <m/>
    <m/>
    <x v="0"/>
    <x v="2"/>
    <x v="0"/>
    <m/>
    <m/>
    <x v="0"/>
    <m/>
    <m/>
    <m/>
    <m/>
    <m/>
    <m/>
    <x v="0"/>
    <x v="0"/>
    <x v="3"/>
    <x v="2"/>
    <x v="2"/>
    <x v="4"/>
    <x v="1"/>
    <x v="1"/>
    <x v="1"/>
    <x v="1"/>
    <x v="2"/>
    <x v="3"/>
    <x v="2"/>
    <x v="1"/>
    <x v="4"/>
    <x v="1"/>
    <x v="2"/>
    <x v="2"/>
    <x v="2"/>
    <x v="5"/>
    <x v="2"/>
    <x v="1"/>
    <m/>
    <m/>
    <m/>
    <m/>
  </r>
  <r>
    <m/>
    <x v="1"/>
    <x v="4"/>
    <x v="0"/>
    <m/>
    <m/>
    <m/>
    <x v="0"/>
    <m/>
    <x v="0"/>
    <m/>
    <m/>
    <m/>
    <m/>
    <m/>
    <m/>
    <m/>
    <m/>
    <m/>
    <m/>
    <m/>
    <m/>
    <x v="0"/>
    <x v="0"/>
    <x v="1"/>
    <m/>
    <m/>
    <x v="0"/>
    <m/>
    <m/>
    <m/>
    <m/>
    <m/>
    <m/>
    <x v="1"/>
    <x v="0"/>
    <x v="1"/>
    <x v="2"/>
    <x v="2"/>
    <x v="2"/>
    <x v="1"/>
    <x v="1"/>
    <x v="1"/>
    <x v="2"/>
    <x v="1"/>
    <x v="2"/>
    <x v="2"/>
    <x v="1"/>
    <x v="2"/>
    <x v="1"/>
    <x v="4"/>
    <x v="3"/>
    <x v="4"/>
    <x v="2"/>
    <x v="2"/>
    <x v="4"/>
    <m/>
    <m/>
    <m/>
    <m/>
  </r>
  <r>
    <m/>
    <x v="1"/>
    <x v="4"/>
    <x v="0"/>
    <m/>
    <m/>
    <m/>
    <x v="0"/>
    <m/>
    <x v="0"/>
    <m/>
    <m/>
    <m/>
    <m/>
    <m/>
    <m/>
    <m/>
    <m/>
    <m/>
    <m/>
    <m/>
    <m/>
    <x v="0"/>
    <x v="0"/>
    <x v="1"/>
    <m/>
    <m/>
    <x v="0"/>
    <m/>
    <m/>
    <m/>
    <m/>
    <m/>
    <m/>
    <x v="1"/>
    <x v="0"/>
    <x v="2"/>
    <x v="2"/>
    <x v="4"/>
    <x v="2"/>
    <x v="1"/>
    <x v="1"/>
    <x v="1"/>
    <x v="2"/>
    <x v="2"/>
    <x v="2"/>
    <x v="1"/>
    <x v="2"/>
    <x v="1"/>
    <x v="1"/>
    <x v="4"/>
    <x v="2"/>
    <x v="3"/>
    <x v="1"/>
    <x v="2"/>
    <x v="1"/>
    <m/>
    <m/>
    <m/>
    <m/>
  </r>
  <r>
    <m/>
    <x v="1"/>
    <x v="4"/>
    <x v="0"/>
    <m/>
    <m/>
    <m/>
    <x v="0"/>
    <m/>
    <x v="3"/>
    <m/>
    <m/>
    <m/>
    <m/>
    <m/>
    <m/>
    <m/>
    <m/>
    <m/>
    <m/>
    <m/>
    <m/>
    <x v="0"/>
    <x v="0"/>
    <x v="0"/>
    <m/>
    <m/>
    <x v="0"/>
    <m/>
    <m/>
    <m/>
    <m/>
    <m/>
    <m/>
    <x v="0"/>
    <x v="0"/>
    <x v="1"/>
    <x v="2"/>
    <x v="1"/>
    <x v="1"/>
    <x v="1"/>
    <x v="2"/>
    <x v="1"/>
    <x v="2"/>
    <x v="1"/>
    <x v="4"/>
    <x v="2"/>
    <x v="1"/>
    <x v="2"/>
    <x v="1"/>
    <x v="4"/>
    <x v="2"/>
    <x v="2"/>
    <x v="2"/>
    <x v="1"/>
    <x v="3"/>
    <m/>
    <m/>
    <m/>
    <m/>
  </r>
  <r>
    <m/>
    <x v="1"/>
    <x v="4"/>
    <x v="0"/>
    <m/>
    <m/>
    <m/>
    <x v="1"/>
    <m/>
    <x v="0"/>
    <m/>
    <m/>
    <m/>
    <m/>
    <m/>
    <m/>
    <m/>
    <m/>
    <m/>
    <m/>
    <m/>
    <m/>
    <x v="0"/>
    <x v="0"/>
    <x v="0"/>
    <m/>
    <m/>
    <x v="1"/>
    <m/>
    <m/>
    <m/>
    <m/>
    <m/>
    <m/>
    <x v="0"/>
    <x v="0"/>
    <x v="1"/>
    <x v="3"/>
    <x v="4"/>
    <x v="2"/>
    <x v="1"/>
    <x v="1"/>
    <x v="1"/>
    <x v="2"/>
    <x v="1"/>
    <x v="2"/>
    <x v="2"/>
    <x v="1"/>
    <x v="1"/>
    <x v="2"/>
    <x v="2"/>
    <x v="2"/>
    <x v="2"/>
    <x v="2"/>
    <x v="2"/>
    <x v="1"/>
    <m/>
    <m/>
    <m/>
    <m/>
  </r>
  <r>
    <m/>
    <x v="1"/>
    <x v="4"/>
    <x v="1"/>
    <m/>
    <m/>
    <m/>
    <x v="0"/>
    <m/>
    <x v="4"/>
    <m/>
    <m/>
    <m/>
    <m/>
    <m/>
    <m/>
    <m/>
    <m/>
    <m/>
    <m/>
    <m/>
    <m/>
    <x v="5"/>
    <x v="0"/>
    <x v="0"/>
    <m/>
    <m/>
    <x v="0"/>
    <m/>
    <m/>
    <m/>
    <m/>
    <m/>
    <m/>
    <x v="0"/>
    <x v="0"/>
    <x v="4"/>
    <x v="4"/>
    <x v="2"/>
    <x v="5"/>
    <x v="1"/>
    <x v="1"/>
    <x v="2"/>
    <x v="3"/>
    <x v="1"/>
    <x v="3"/>
    <x v="2"/>
    <x v="3"/>
    <x v="4"/>
    <x v="1"/>
    <x v="4"/>
    <x v="3"/>
    <x v="2"/>
    <x v="4"/>
    <x v="2"/>
    <x v="1"/>
    <m/>
    <m/>
    <m/>
    <m/>
  </r>
  <r>
    <m/>
    <x v="1"/>
    <x v="4"/>
    <x v="1"/>
    <m/>
    <m/>
    <m/>
    <x v="0"/>
    <m/>
    <x v="4"/>
    <m/>
    <m/>
    <m/>
    <m/>
    <m/>
    <m/>
    <m/>
    <m/>
    <m/>
    <m/>
    <m/>
    <m/>
    <x v="0"/>
    <x v="0"/>
    <x v="0"/>
    <m/>
    <m/>
    <x v="0"/>
    <m/>
    <m/>
    <m/>
    <m/>
    <m/>
    <m/>
    <x v="0"/>
    <x v="3"/>
    <x v="1"/>
    <x v="2"/>
    <x v="4"/>
    <x v="5"/>
    <x v="1"/>
    <x v="2"/>
    <x v="1"/>
    <x v="2"/>
    <x v="2"/>
    <x v="3"/>
    <x v="2"/>
    <x v="3"/>
    <x v="3"/>
    <x v="1"/>
    <x v="2"/>
    <x v="2"/>
    <x v="2"/>
    <x v="4"/>
    <x v="1"/>
    <x v="1"/>
    <m/>
    <m/>
    <m/>
    <m/>
  </r>
  <r>
    <m/>
    <x v="1"/>
    <x v="4"/>
    <x v="1"/>
    <m/>
    <m/>
    <m/>
    <x v="0"/>
    <m/>
    <x v="0"/>
    <m/>
    <m/>
    <m/>
    <m/>
    <m/>
    <m/>
    <m/>
    <m/>
    <m/>
    <m/>
    <m/>
    <m/>
    <x v="0"/>
    <x v="0"/>
    <x v="0"/>
    <m/>
    <m/>
    <x v="0"/>
    <m/>
    <m/>
    <m/>
    <m/>
    <m/>
    <m/>
    <x v="0"/>
    <x v="0"/>
    <x v="1"/>
    <x v="2"/>
    <x v="2"/>
    <x v="2"/>
    <x v="3"/>
    <x v="1"/>
    <x v="1"/>
    <x v="2"/>
    <x v="1"/>
    <x v="2"/>
    <x v="2"/>
    <x v="1"/>
    <x v="1"/>
    <x v="1"/>
    <x v="2"/>
    <x v="3"/>
    <x v="3"/>
    <x v="4"/>
    <x v="4"/>
    <x v="1"/>
    <m/>
    <m/>
    <m/>
    <m/>
  </r>
  <r>
    <m/>
    <x v="1"/>
    <x v="4"/>
    <x v="1"/>
    <m/>
    <m/>
    <m/>
    <x v="0"/>
    <m/>
    <x v="1"/>
    <m/>
    <m/>
    <m/>
    <m/>
    <m/>
    <m/>
    <m/>
    <m/>
    <m/>
    <m/>
    <m/>
    <m/>
    <x v="0"/>
    <x v="2"/>
    <x v="5"/>
    <m/>
    <m/>
    <x v="0"/>
    <m/>
    <m/>
    <m/>
    <m/>
    <m/>
    <m/>
    <x v="0"/>
    <x v="2"/>
    <x v="2"/>
    <x v="3"/>
    <x v="3"/>
    <x v="4"/>
    <x v="1"/>
    <x v="2"/>
    <x v="3"/>
    <x v="3"/>
    <x v="1"/>
    <x v="5"/>
    <x v="2"/>
    <x v="2"/>
    <x v="0"/>
    <x v="1"/>
    <x v="2"/>
    <x v="2"/>
    <x v="2"/>
    <x v="4"/>
    <x v="2"/>
    <x v="3"/>
    <m/>
    <m/>
    <m/>
    <m/>
  </r>
  <r>
    <m/>
    <x v="1"/>
    <x v="4"/>
    <x v="0"/>
    <m/>
    <m/>
    <m/>
    <x v="0"/>
    <m/>
    <x v="0"/>
    <m/>
    <m/>
    <m/>
    <m/>
    <m/>
    <m/>
    <m/>
    <m/>
    <m/>
    <m/>
    <m/>
    <m/>
    <x v="0"/>
    <x v="0"/>
    <x v="0"/>
    <m/>
    <m/>
    <x v="0"/>
    <m/>
    <m/>
    <m/>
    <m/>
    <m/>
    <m/>
    <x v="0"/>
    <x v="0"/>
    <x v="1"/>
    <x v="2"/>
    <x v="2"/>
    <x v="2"/>
    <x v="1"/>
    <x v="1"/>
    <x v="1"/>
    <x v="2"/>
    <x v="1"/>
    <x v="3"/>
    <x v="2"/>
    <x v="1"/>
    <x v="2"/>
    <x v="1"/>
    <x v="2"/>
    <x v="2"/>
    <x v="2"/>
    <x v="2"/>
    <x v="0"/>
    <x v="1"/>
    <m/>
    <m/>
    <m/>
    <m/>
  </r>
  <r>
    <m/>
    <x v="1"/>
    <x v="4"/>
    <x v="0"/>
    <m/>
    <m/>
    <m/>
    <x v="0"/>
    <m/>
    <x v="0"/>
    <m/>
    <m/>
    <m/>
    <m/>
    <m/>
    <m/>
    <m/>
    <m/>
    <m/>
    <m/>
    <m/>
    <m/>
    <x v="0"/>
    <x v="0"/>
    <x v="0"/>
    <m/>
    <m/>
    <x v="0"/>
    <m/>
    <m/>
    <m/>
    <m/>
    <m/>
    <m/>
    <x v="4"/>
    <x v="2"/>
    <x v="4"/>
    <x v="2"/>
    <x v="2"/>
    <x v="2"/>
    <x v="1"/>
    <x v="1"/>
    <x v="1"/>
    <x v="2"/>
    <x v="1"/>
    <x v="3"/>
    <x v="2"/>
    <x v="1"/>
    <x v="3"/>
    <x v="1"/>
    <x v="4"/>
    <x v="2"/>
    <x v="2"/>
    <x v="4"/>
    <x v="2"/>
    <x v="4"/>
    <m/>
    <m/>
    <m/>
    <m/>
  </r>
  <r>
    <m/>
    <x v="1"/>
    <x v="4"/>
    <x v="1"/>
    <m/>
    <m/>
    <m/>
    <x v="0"/>
    <m/>
    <x v="2"/>
    <m/>
    <m/>
    <m/>
    <m/>
    <m/>
    <m/>
    <m/>
    <m/>
    <m/>
    <m/>
    <m/>
    <m/>
    <x v="0"/>
    <x v="0"/>
    <x v="0"/>
    <m/>
    <m/>
    <x v="0"/>
    <m/>
    <m/>
    <m/>
    <m/>
    <m/>
    <m/>
    <x v="0"/>
    <x v="3"/>
    <x v="1"/>
    <x v="2"/>
    <x v="2"/>
    <x v="3"/>
    <x v="1"/>
    <x v="2"/>
    <x v="1"/>
    <x v="2"/>
    <x v="1"/>
    <x v="2"/>
    <x v="2"/>
    <x v="1"/>
    <x v="1"/>
    <x v="1"/>
    <x v="2"/>
    <x v="2"/>
    <x v="2"/>
    <x v="4"/>
    <x v="2"/>
    <x v="3"/>
    <m/>
    <m/>
    <m/>
    <m/>
  </r>
  <r>
    <m/>
    <x v="1"/>
    <x v="4"/>
    <x v="1"/>
    <m/>
    <m/>
    <m/>
    <x v="0"/>
    <m/>
    <x v="0"/>
    <m/>
    <m/>
    <m/>
    <m/>
    <m/>
    <m/>
    <m/>
    <m/>
    <m/>
    <m/>
    <m/>
    <m/>
    <x v="3"/>
    <x v="5"/>
    <x v="1"/>
    <m/>
    <m/>
    <x v="0"/>
    <m/>
    <m/>
    <m/>
    <m/>
    <m/>
    <m/>
    <x v="2"/>
    <x v="0"/>
    <x v="1"/>
    <x v="2"/>
    <x v="4"/>
    <x v="2"/>
    <x v="1"/>
    <x v="1"/>
    <x v="1"/>
    <x v="2"/>
    <x v="2"/>
    <x v="2"/>
    <x v="2"/>
    <x v="1"/>
    <x v="3"/>
    <x v="1"/>
    <x v="2"/>
    <x v="2"/>
    <x v="2"/>
    <x v="2"/>
    <x v="2"/>
    <x v="1"/>
    <m/>
    <m/>
    <m/>
    <m/>
  </r>
  <r>
    <m/>
    <x v="1"/>
    <x v="4"/>
    <x v="1"/>
    <m/>
    <m/>
    <m/>
    <x v="0"/>
    <m/>
    <x v="0"/>
    <m/>
    <m/>
    <m/>
    <m/>
    <m/>
    <m/>
    <m/>
    <m/>
    <m/>
    <m/>
    <m/>
    <m/>
    <x v="0"/>
    <x v="0"/>
    <x v="0"/>
    <m/>
    <m/>
    <x v="0"/>
    <m/>
    <m/>
    <m/>
    <m/>
    <m/>
    <m/>
    <x v="0"/>
    <x v="0"/>
    <x v="1"/>
    <x v="2"/>
    <x v="2"/>
    <x v="2"/>
    <x v="1"/>
    <x v="1"/>
    <x v="1"/>
    <x v="2"/>
    <x v="1"/>
    <x v="5"/>
    <x v="2"/>
    <x v="1"/>
    <x v="4"/>
    <x v="1"/>
    <x v="2"/>
    <x v="2"/>
    <x v="2"/>
    <x v="2"/>
    <x v="2"/>
    <x v="4"/>
    <m/>
    <m/>
    <m/>
    <m/>
  </r>
  <r>
    <m/>
    <x v="1"/>
    <x v="4"/>
    <x v="1"/>
    <m/>
    <m/>
    <m/>
    <x v="1"/>
    <m/>
    <x v="2"/>
    <m/>
    <m/>
    <m/>
    <m/>
    <m/>
    <m/>
    <m/>
    <m/>
    <m/>
    <m/>
    <m/>
    <m/>
    <x v="3"/>
    <x v="1"/>
    <x v="1"/>
    <m/>
    <m/>
    <x v="1"/>
    <m/>
    <m/>
    <m/>
    <m/>
    <m/>
    <m/>
    <x v="0"/>
    <x v="0"/>
    <x v="2"/>
    <x v="3"/>
    <x v="4"/>
    <x v="3"/>
    <x v="3"/>
    <x v="2"/>
    <x v="2"/>
    <x v="3"/>
    <x v="2"/>
    <x v="2"/>
    <x v="1"/>
    <x v="2"/>
    <x v="1"/>
    <x v="2"/>
    <x v="2"/>
    <x v="2"/>
    <x v="2"/>
    <x v="2"/>
    <x v="2"/>
    <x v="3"/>
    <m/>
    <m/>
    <m/>
    <m/>
  </r>
  <r>
    <m/>
    <x v="1"/>
    <x v="0"/>
    <x v="0"/>
    <m/>
    <m/>
    <m/>
    <x v="0"/>
    <m/>
    <x v="3"/>
    <m/>
    <m/>
    <m/>
    <m/>
    <m/>
    <m/>
    <m/>
    <m/>
    <m/>
    <m/>
    <m/>
    <m/>
    <x v="0"/>
    <x v="0"/>
    <x v="2"/>
    <m/>
    <m/>
    <x v="0"/>
    <m/>
    <m/>
    <m/>
    <m/>
    <m/>
    <m/>
    <x v="2"/>
    <x v="4"/>
    <x v="1"/>
    <x v="3"/>
    <x v="3"/>
    <x v="1"/>
    <x v="5"/>
    <x v="1"/>
    <x v="1"/>
    <x v="2"/>
    <x v="1"/>
    <x v="5"/>
    <x v="4"/>
    <x v="1"/>
    <x v="2"/>
    <x v="1"/>
    <x v="4"/>
    <x v="3"/>
    <x v="3"/>
    <x v="5"/>
    <x v="3"/>
    <x v="1"/>
    <m/>
    <m/>
    <m/>
    <m/>
  </r>
  <r>
    <m/>
    <x v="1"/>
    <x v="0"/>
    <x v="0"/>
    <m/>
    <m/>
    <m/>
    <x v="2"/>
    <m/>
    <x v="2"/>
    <m/>
    <m/>
    <m/>
    <m/>
    <m/>
    <m/>
    <m/>
    <m/>
    <m/>
    <m/>
    <m/>
    <m/>
    <x v="3"/>
    <x v="1"/>
    <x v="1"/>
    <m/>
    <m/>
    <x v="1"/>
    <m/>
    <m/>
    <m/>
    <m/>
    <m/>
    <m/>
    <x v="1"/>
    <x v="2"/>
    <x v="2"/>
    <x v="3"/>
    <x v="3"/>
    <x v="3"/>
    <x v="3"/>
    <x v="2"/>
    <x v="2"/>
    <x v="3"/>
    <x v="2"/>
    <x v="1"/>
    <x v="1"/>
    <x v="2"/>
    <x v="1"/>
    <x v="2"/>
    <x v="4"/>
    <x v="3"/>
    <x v="3"/>
    <x v="1"/>
    <x v="3"/>
    <x v="3"/>
    <m/>
    <m/>
    <m/>
    <m/>
  </r>
  <r>
    <m/>
    <x v="1"/>
    <x v="0"/>
    <x v="0"/>
    <m/>
    <m/>
    <m/>
    <x v="0"/>
    <m/>
    <x v="2"/>
    <m/>
    <m/>
    <m/>
    <m/>
    <m/>
    <m/>
    <m/>
    <m/>
    <m/>
    <m/>
    <m/>
    <m/>
    <x v="0"/>
    <x v="0"/>
    <x v="0"/>
    <m/>
    <m/>
    <x v="0"/>
    <m/>
    <m/>
    <m/>
    <m/>
    <m/>
    <m/>
    <x v="0"/>
    <x v="0"/>
    <x v="1"/>
    <x v="3"/>
    <x v="4"/>
    <x v="3"/>
    <x v="3"/>
    <x v="3"/>
    <x v="2"/>
    <x v="1"/>
    <x v="1"/>
    <x v="2"/>
    <x v="1"/>
    <x v="2"/>
    <x v="1"/>
    <x v="1"/>
    <x v="4"/>
    <x v="3"/>
    <x v="3"/>
    <x v="4"/>
    <x v="3"/>
    <x v="1"/>
    <m/>
    <m/>
    <m/>
    <m/>
  </r>
  <r>
    <m/>
    <x v="1"/>
    <x v="0"/>
    <x v="1"/>
    <m/>
    <m/>
    <m/>
    <x v="0"/>
    <m/>
    <x v="0"/>
    <m/>
    <m/>
    <m/>
    <m/>
    <m/>
    <m/>
    <m/>
    <m/>
    <m/>
    <m/>
    <m/>
    <m/>
    <x v="0"/>
    <x v="0"/>
    <x v="3"/>
    <m/>
    <m/>
    <x v="0"/>
    <m/>
    <m/>
    <m/>
    <m/>
    <m/>
    <m/>
    <x v="0"/>
    <x v="0"/>
    <x v="2"/>
    <x v="2"/>
    <x v="4"/>
    <x v="2"/>
    <x v="1"/>
    <x v="1"/>
    <x v="1"/>
    <x v="2"/>
    <x v="1"/>
    <x v="3"/>
    <x v="2"/>
    <x v="1"/>
    <x v="2"/>
    <x v="1"/>
    <x v="5"/>
    <x v="3"/>
    <x v="1"/>
    <x v="4"/>
    <x v="3"/>
    <x v="3"/>
    <m/>
    <m/>
    <m/>
    <m/>
  </r>
  <r>
    <m/>
    <x v="1"/>
    <x v="0"/>
    <x v="0"/>
    <m/>
    <m/>
    <m/>
    <x v="0"/>
    <m/>
    <x v="0"/>
    <m/>
    <m/>
    <m/>
    <m/>
    <m/>
    <m/>
    <m/>
    <m/>
    <m/>
    <m/>
    <m/>
    <m/>
    <x v="0"/>
    <x v="0"/>
    <x v="0"/>
    <m/>
    <m/>
    <x v="0"/>
    <m/>
    <m/>
    <m/>
    <m/>
    <m/>
    <m/>
    <x v="0"/>
    <x v="0"/>
    <x v="1"/>
    <x v="2"/>
    <x v="2"/>
    <x v="2"/>
    <x v="1"/>
    <x v="1"/>
    <x v="1"/>
    <x v="2"/>
    <x v="1"/>
    <x v="3"/>
    <x v="2"/>
    <x v="1"/>
    <x v="2"/>
    <x v="1"/>
    <x v="2"/>
    <x v="2"/>
    <x v="4"/>
    <x v="4"/>
    <x v="2"/>
    <x v="1"/>
    <m/>
    <m/>
    <m/>
    <m/>
  </r>
  <r>
    <m/>
    <x v="1"/>
    <x v="0"/>
    <x v="1"/>
    <m/>
    <m/>
    <m/>
    <x v="0"/>
    <m/>
    <x v="0"/>
    <m/>
    <m/>
    <m/>
    <m/>
    <m/>
    <m/>
    <m/>
    <m/>
    <m/>
    <m/>
    <m/>
    <m/>
    <x v="0"/>
    <x v="0"/>
    <x v="0"/>
    <m/>
    <m/>
    <x v="0"/>
    <m/>
    <m/>
    <m/>
    <m/>
    <m/>
    <m/>
    <x v="0"/>
    <x v="2"/>
    <x v="2"/>
    <x v="2"/>
    <x v="2"/>
    <x v="2"/>
    <x v="1"/>
    <x v="1"/>
    <x v="1"/>
    <x v="2"/>
    <x v="1"/>
    <x v="2"/>
    <x v="2"/>
    <x v="1"/>
    <x v="3"/>
    <x v="1"/>
    <x v="1"/>
    <x v="2"/>
    <x v="3"/>
    <x v="5"/>
    <x v="3"/>
    <x v="5"/>
    <m/>
    <m/>
    <m/>
    <m/>
  </r>
  <r>
    <m/>
    <x v="1"/>
    <x v="0"/>
    <x v="1"/>
    <m/>
    <m/>
    <m/>
    <x v="0"/>
    <m/>
    <x v="0"/>
    <m/>
    <m/>
    <m/>
    <m/>
    <m/>
    <m/>
    <m/>
    <m/>
    <m/>
    <m/>
    <m/>
    <m/>
    <x v="0"/>
    <x v="0"/>
    <x v="0"/>
    <m/>
    <m/>
    <x v="1"/>
    <m/>
    <m/>
    <m/>
    <m/>
    <m/>
    <m/>
    <x v="0"/>
    <x v="2"/>
    <x v="1"/>
    <x v="3"/>
    <x v="4"/>
    <x v="2"/>
    <x v="3"/>
    <x v="1"/>
    <x v="1"/>
    <x v="3"/>
    <x v="2"/>
    <x v="2"/>
    <x v="2"/>
    <x v="1"/>
    <x v="1"/>
    <x v="1"/>
    <x v="4"/>
    <x v="3"/>
    <x v="3"/>
    <x v="4"/>
    <x v="2"/>
    <x v="3"/>
    <m/>
    <m/>
    <m/>
    <m/>
  </r>
  <r>
    <m/>
    <x v="1"/>
    <x v="0"/>
    <x v="1"/>
    <m/>
    <m/>
    <m/>
    <x v="0"/>
    <m/>
    <x v="2"/>
    <m/>
    <m/>
    <m/>
    <m/>
    <m/>
    <m/>
    <m/>
    <m/>
    <m/>
    <m/>
    <m/>
    <m/>
    <x v="0"/>
    <x v="0"/>
    <x v="0"/>
    <m/>
    <m/>
    <x v="0"/>
    <m/>
    <m/>
    <m/>
    <m/>
    <m/>
    <m/>
    <x v="0"/>
    <x v="4"/>
    <x v="1"/>
    <x v="3"/>
    <x v="4"/>
    <x v="3"/>
    <x v="3"/>
    <x v="2"/>
    <x v="1"/>
    <x v="2"/>
    <x v="1"/>
    <x v="3"/>
    <x v="2"/>
    <x v="1"/>
    <x v="2"/>
    <x v="1"/>
    <x v="2"/>
    <x v="2"/>
    <x v="2"/>
    <x v="1"/>
    <x v="2"/>
    <x v="1"/>
    <m/>
    <m/>
    <m/>
    <m/>
  </r>
  <r>
    <m/>
    <x v="1"/>
    <x v="0"/>
    <x v="1"/>
    <m/>
    <m/>
    <m/>
    <x v="0"/>
    <m/>
    <x v="2"/>
    <m/>
    <m/>
    <m/>
    <m/>
    <m/>
    <m/>
    <m/>
    <m/>
    <m/>
    <m/>
    <m/>
    <m/>
    <x v="0"/>
    <x v="0"/>
    <x v="0"/>
    <m/>
    <m/>
    <x v="0"/>
    <m/>
    <m/>
    <m/>
    <m/>
    <m/>
    <m/>
    <x v="0"/>
    <x v="2"/>
    <x v="2"/>
    <x v="3"/>
    <x v="4"/>
    <x v="3"/>
    <x v="3"/>
    <x v="2"/>
    <x v="2"/>
    <x v="4"/>
    <x v="2"/>
    <x v="2"/>
    <x v="5"/>
    <x v="2"/>
    <x v="3"/>
    <x v="1"/>
    <x v="4"/>
    <x v="3"/>
    <x v="2"/>
    <x v="4"/>
    <x v="3"/>
    <x v="3"/>
    <m/>
    <m/>
    <m/>
    <m/>
  </r>
  <r>
    <m/>
    <x v="1"/>
    <x v="0"/>
    <x v="1"/>
    <m/>
    <m/>
    <m/>
    <x v="0"/>
    <m/>
    <x v="2"/>
    <m/>
    <m/>
    <m/>
    <m/>
    <m/>
    <m/>
    <m/>
    <m/>
    <m/>
    <m/>
    <m/>
    <m/>
    <x v="0"/>
    <x v="0"/>
    <x v="0"/>
    <m/>
    <m/>
    <x v="1"/>
    <m/>
    <m/>
    <m/>
    <m/>
    <m/>
    <m/>
    <x v="0"/>
    <x v="2"/>
    <x v="1"/>
    <x v="3"/>
    <x v="2"/>
    <x v="3"/>
    <x v="3"/>
    <x v="1"/>
    <x v="1"/>
    <x v="3"/>
    <x v="1"/>
    <x v="3"/>
    <x v="2"/>
    <x v="1"/>
    <x v="1"/>
    <x v="1"/>
    <x v="4"/>
    <x v="2"/>
    <x v="3"/>
    <x v="1"/>
    <x v="3"/>
    <x v="3"/>
    <m/>
    <m/>
    <m/>
    <m/>
  </r>
  <r>
    <m/>
    <x v="1"/>
    <x v="0"/>
    <x v="0"/>
    <m/>
    <m/>
    <m/>
    <x v="1"/>
    <m/>
    <x v="2"/>
    <m/>
    <m/>
    <m/>
    <m/>
    <m/>
    <m/>
    <m/>
    <m/>
    <m/>
    <m/>
    <m/>
    <m/>
    <x v="2"/>
    <x v="0"/>
    <x v="1"/>
    <m/>
    <m/>
    <x v="1"/>
    <m/>
    <m/>
    <m/>
    <m/>
    <m/>
    <m/>
    <x v="0"/>
    <x v="2"/>
    <x v="1"/>
    <x v="3"/>
    <x v="4"/>
    <x v="3"/>
    <x v="5"/>
    <x v="1"/>
    <x v="1"/>
    <x v="2"/>
    <x v="2"/>
    <x v="1"/>
    <x v="1"/>
    <x v="2"/>
    <x v="1"/>
    <x v="2"/>
    <x v="1"/>
    <x v="3"/>
    <x v="3"/>
    <x v="1"/>
    <x v="3"/>
    <x v="3"/>
    <m/>
    <m/>
    <m/>
    <m/>
  </r>
  <r>
    <m/>
    <x v="1"/>
    <x v="0"/>
    <x v="1"/>
    <m/>
    <m/>
    <m/>
    <x v="0"/>
    <m/>
    <x v="0"/>
    <m/>
    <m/>
    <m/>
    <m/>
    <m/>
    <m/>
    <m/>
    <m/>
    <m/>
    <m/>
    <m/>
    <m/>
    <x v="0"/>
    <x v="0"/>
    <x v="1"/>
    <m/>
    <m/>
    <x v="0"/>
    <m/>
    <m/>
    <m/>
    <m/>
    <m/>
    <m/>
    <x v="1"/>
    <x v="0"/>
    <x v="1"/>
    <x v="2"/>
    <x v="4"/>
    <x v="2"/>
    <x v="1"/>
    <x v="1"/>
    <x v="1"/>
    <x v="1"/>
    <x v="2"/>
    <x v="3"/>
    <x v="2"/>
    <x v="2"/>
    <x v="1"/>
    <x v="1"/>
    <x v="5"/>
    <x v="2"/>
    <x v="2"/>
    <x v="2"/>
    <x v="2"/>
    <x v="1"/>
    <m/>
    <m/>
    <m/>
    <m/>
  </r>
  <r>
    <m/>
    <x v="1"/>
    <x v="0"/>
    <x v="1"/>
    <m/>
    <m/>
    <m/>
    <x v="0"/>
    <m/>
    <x v="2"/>
    <m/>
    <m/>
    <m/>
    <m/>
    <m/>
    <m/>
    <m/>
    <m/>
    <m/>
    <m/>
    <m/>
    <m/>
    <x v="0"/>
    <x v="0"/>
    <x v="0"/>
    <m/>
    <m/>
    <x v="1"/>
    <m/>
    <m/>
    <m/>
    <m/>
    <m/>
    <m/>
    <x v="0"/>
    <x v="0"/>
    <x v="1"/>
    <x v="2"/>
    <x v="2"/>
    <x v="3"/>
    <x v="1"/>
    <x v="1"/>
    <x v="1"/>
    <x v="2"/>
    <x v="1"/>
    <x v="3"/>
    <x v="1"/>
    <x v="1"/>
    <x v="1"/>
    <x v="2"/>
    <x v="4"/>
    <x v="2"/>
    <x v="2"/>
    <x v="4"/>
    <x v="2"/>
    <x v="1"/>
    <m/>
    <m/>
    <m/>
    <m/>
  </r>
  <r>
    <m/>
    <x v="1"/>
    <x v="0"/>
    <x v="0"/>
    <m/>
    <m/>
    <m/>
    <x v="0"/>
    <m/>
    <x v="5"/>
    <m/>
    <m/>
    <m/>
    <m/>
    <m/>
    <m/>
    <m/>
    <m/>
    <m/>
    <m/>
    <m/>
    <m/>
    <x v="1"/>
    <x v="3"/>
    <x v="1"/>
    <m/>
    <m/>
    <x v="0"/>
    <m/>
    <m/>
    <m/>
    <m/>
    <m/>
    <m/>
    <x v="0"/>
    <x v="0"/>
    <x v="1"/>
    <x v="3"/>
    <x v="4"/>
    <x v="0"/>
    <x v="1"/>
    <x v="1"/>
    <x v="1"/>
    <x v="2"/>
    <x v="1"/>
    <x v="2"/>
    <x v="2"/>
    <x v="1"/>
    <x v="1"/>
    <x v="1"/>
    <x v="2"/>
    <x v="2"/>
    <x v="2"/>
    <x v="2"/>
    <x v="2"/>
    <x v="1"/>
    <m/>
    <m/>
    <m/>
    <m/>
  </r>
  <r>
    <m/>
    <x v="1"/>
    <x v="0"/>
    <x v="1"/>
    <m/>
    <m/>
    <m/>
    <x v="1"/>
    <m/>
    <x v="2"/>
    <m/>
    <m/>
    <m/>
    <m/>
    <m/>
    <m/>
    <m/>
    <m/>
    <m/>
    <m/>
    <m/>
    <m/>
    <x v="0"/>
    <x v="0"/>
    <x v="0"/>
    <m/>
    <m/>
    <x v="1"/>
    <m/>
    <m/>
    <m/>
    <m/>
    <m/>
    <m/>
    <x v="1"/>
    <x v="2"/>
    <x v="2"/>
    <x v="3"/>
    <x v="4"/>
    <x v="3"/>
    <x v="3"/>
    <x v="2"/>
    <x v="1"/>
    <x v="2"/>
    <x v="1"/>
    <x v="2"/>
    <x v="1"/>
    <x v="1"/>
    <x v="2"/>
    <x v="2"/>
    <x v="4"/>
    <x v="3"/>
    <x v="2"/>
    <x v="4"/>
    <x v="3"/>
    <x v="3"/>
    <m/>
    <m/>
    <m/>
    <m/>
  </r>
  <r>
    <m/>
    <x v="1"/>
    <x v="1"/>
    <x v="1"/>
    <m/>
    <m/>
    <m/>
    <x v="0"/>
    <m/>
    <x v="0"/>
    <m/>
    <m/>
    <m/>
    <m/>
    <m/>
    <m/>
    <m/>
    <m/>
    <m/>
    <m/>
    <m/>
    <m/>
    <x v="0"/>
    <x v="0"/>
    <x v="0"/>
    <m/>
    <m/>
    <x v="0"/>
    <m/>
    <m/>
    <m/>
    <m/>
    <m/>
    <m/>
    <x v="0"/>
    <x v="0"/>
    <x v="1"/>
    <x v="2"/>
    <x v="2"/>
    <x v="2"/>
    <x v="1"/>
    <x v="1"/>
    <x v="1"/>
    <x v="2"/>
    <x v="1"/>
    <x v="3"/>
    <x v="2"/>
    <x v="1"/>
    <x v="2"/>
    <x v="1"/>
    <x v="2"/>
    <x v="2"/>
    <x v="2"/>
    <x v="2"/>
    <x v="2"/>
    <x v="1"/>
    <m/>
    <m/>
    <m/>
    <m/>
  </r>
  <r>
    <m/>
    <x v="1"/>
    <x v="1"/>
    <x v="1"/>
    <m/>
    <m/>
    <m/>
    <x v="0"/>
    <m/>
    <x v="2"/>
    <m/>
    <m/>
    <m/>
    <m/>
    <m/>
    <m/>
    <m/>
    <m/>
    <m/>
    <m/>
    <m/>
    <m/>
    <x v="0"/>
    <x v="0"/>
    <x v="0"/>
    <m/>
    <m/>
    <x v="0"/>
    <m/>
    <m/>
    <m/>
    <m/>
    <m/>
    <m/>
    <x v="0"/>
    <x v="0"/>
    <x v="1"/>
    <x v="2"/>
    <x v="2"/>
    <x v="3"/>
    <x v="0"/>
    <x v="1"/>
    <x v="1"/>
    <x v="2"/>
    <x v="2"/>
    <x v="3"/>
    <x v="5"/>
    <x v="1"/>
    <x v="3"/>
    <x v="1"/>
    <x v="4"/>
    <x v="3"/>
    <x v="2"/>
    <x v="4"/>
    <x v="2"/>
    <x v="1"/>
    <m/>
    <m/>
    <m/>
    <m/>
  </r>
  <r>
    <m/>
    <x v="1"/>
    <x v="1"/>
    <x v="1"/>
    <m/>
    <m/>
    <m/>
    <x v="0"/>
    <m/>
    <x v="0"/>
    <m/>
    <m/>
    <m/>
    <m/>
    <m/>
    <m/>
    <m/>
    <m/>
    <m/>
    <m/>
    <m/>
    <m/>
    <x v="0"/>
    <x v="0"/>
    <x v="0"/>
    <m/>
    <m/>
    <x v="0"/>
    <m/>
    <m/>
    <m/>
    <m/>
    <m/>
    <m/>
    <x v="0"/>
    <x v="0"/>
    <x v="1"/>
    <x v="2"/>
    <x v="2"/>
    <x v="2"/>
    <x v="1"/>
    <x v="1"/>
    <x v="1"/>
    <x v="2"/>
    <x v="1"/>
    <x v="3"/>
    <x v="2"/>
    <x v="1"/>
    <x v="2"/>
    <x v="1"/>
    <x v="2"/>
    <x v="2"/>
    <x v="2"/>
    <x v="2"/>
    <x v="2"/>
    <x v="1"/>
    <m/>
    <m/>
    <m/>
    <m/>
  </r>
  <r>
    <m/>
    <x v="1"/>
    <x v="1"/>
    <x v="1"/>
    <m/>
    <m/>
    <m/>
    <x v="0"/>
    <m/>
    <x v="0"/>
    <m/>
    <m/>
    <m/>
    <m/>
    <m/>
    <m/>
    <m/>
    <m/>
    <m/>
    <m/>
    <m/>
    <m/>
    <x v="0"/>
    <x v="0"/>
    <x v="0"/>
    <m/>
    <m/>
    <x v="0"/>
    <m/>
    <m/>
    <m/>
    <m/>
    <m/>
    <m/>
    <x v="0"/>
    <x v="0"/>
    <x v="1"/>
    <x v="2"/>
    <x v="2"/>
    <x v="2"/>
    <x v="1"/>
    <x v="1"/>
    <x v="1"/>
    <x v="2"/>
    <x v="1"/>
    <x v="3"/>
    <x v="2"/>
    <x v="1"/>
    <x v="2"/>
    <x v="1"/>
    <x v="2"/>
    <x v="2"/>
    <x v="2"/>
    <x v="4"/>
    <x v="2"/>
    <x v="1"/>
    <m/>
    <m/>
    <m/>
    <m/>
  </r>
  <r>
    <m/>
    <x v="1"/>
    <x v="1"/>
    <x v="1"/>
    <m/>
    <m/>
    <m/>
    <x v="0"/>
    <m/>
    <x v="0"/>
    <m/>
    <m/>
    <m/>
    <m/>
    <m/>
    <m/>
    <m/>
    <m/>
    <m/>
    <m/>
    <m/>
    <m/>
    <x v="0"/>
    <x v="0"/>
    <x v="0"/>
    <m/>
    <m/>
    <x v="0"/>
    <m/>
    <m/>
    <m/>
    <m/>
    <m/>
    <m/>
    <x v="0"/>
    <x v="0"/>
    <x v="1"/>
    <x v="2"/>
    <x v="2"/>
    <x v="2"/>
    <x v="1"/>
    <x v="1"/>
    <x v="1"/>
    <x v="2"/>
    <x v="1"/>
    <x v="3"/>
    <x v="2"/>
    <x v="1"/>
    <x v="2"/>
    <x v="1"/>
    <x v="5"/>
    <x v="4"/>
    <x v="2"/>
    <x v="3"/>
    <x v="2"/>
    <x v="1"/>
    <m/>
    <m/>
    <m/>
    <m/>
  </r>
  <r>
    <m/>
    <x v="1"/>
    <x v="1"/>
    <x v="1"/>
    <m/>
    <m/>
    <m/>
    <x v="0"/>
    <m/>
    <x v="0"/>
    <m/>
    <m/>
    <m/>
    <m/>
    <m/>
    <m/>
    <m/>
    <m/>
    <m/>
    <m/>
    <m/>
    <m/>
    <x v="0"/>
    <x v="0"/>
    <x v="0"/>
    <m/>
    <m/>
    <x v="0"/>
    <m/>
    <m/>
    <m/>
    <m/>
    <m/>
    <m/>
    <x v="0"/>
    <x v="0"/>
    <x v="1"/>
    <x v="2"/>
    <x v="2"/>
    <x v="2"/>
    <x v="1"/>
    <x v="1"/>
    <x v="1"/>
    <x v="2"/>
    <x v="1"/>
    <x v="3"/>
    <x v="2"/>
    <x v="1"/>
    <x v="2"/>
    <x v="1"/>
    <x v="2"/>
    <x v="2"/>
    <x v="2"/>
    <x v="2"/>
    <x v="2"/>
    <x v="1"/>
    <m/>
    <m/>
    <m/>
    <m/>
  </r>
  <r>
    <m/>
    <x v="1"/>
    <x v="1"/>
    <x v="1"/>
    <m/>
    <m/>
    <m/>
    <x v="0"/>
    <m/>
    <x v="0"/>
    <m/>
    <m/>
    <m/>
    <m/>
    <m/>
    <m/>
    <m/>
    <m/>
    <m/>
    <m/>
    <m/>
    <m/>
    <x v="0"/>
    <x v="0"/>
    <x v="0"/>
    <m/>
    <m/>
    <x v="0"/>
    <m/>
    <m/>
    <m/>
    <m/>
    <m/>
    <m/>
    <x v="0"/>
    <x v="5"/>
    <x v="1"/>
    <x v="2"/>
    <x v="4"/>
    <x v="2"/>
    <x v="1"/>
    <x v="1"/>
    <x v="1"/>
    <x v="2"/>
    <x v="1"/>
    <x v="3"/>
    <x v="2"/>
    <x v="1"/>
    <x v="2"/>
    <x v="1"/>
    <x v="1"/>
    <x v="3"/>
    <x v="2"/>
    <x v="2"/>
    <x v="2"/>
    <x v="1"/>
    <m/>
    <m/>
    <m/>
    <m/>
  </r>
  <r>
    <m/>
    <x v="1"/>
    <x v="1"/>
    <x v="1"/>
    <m/>
    <m/>
    <m/>
    <x v="0"/>
    <m/>
    <x v="0"/>
    <m/>
    <m/>
    <m/>
    <m/>
    <m/>
    <m/>
    <m/>
    <m/>
    <m/>
    <m/>
    <m/>
    <m/>
    <x v="0"/>
    <x v="0"/>
    <x v="0"/>
    <m/>
    <m/>
    <x v="0"/>
    <m/>
    <m/>
    <m/>
    <m/>
    <m/>
    <m/>
    <x v="0"/>
    <x v="0"/>
    <x v="1"/>
    <x v="2"/>
    <x v="2"/>
    <x v="2"/>
    <x v="1"/>
    <x v="1"/>
    <x v="1"/>
    <x v="2"/>
    <x v="1"/>
    <x v="3"/>
    <x v="2"/>
    <x v="1"/>
    <x v="2"/>
    <x v="1"/>
    <x v="4"/>
    <x v="5"/>
    <x v="2"/>
    <x v="2"/>
    <x v="2"/>
    <x v="1"/>
    <m/>
    <m/>
    <m/>
    <m/>
  </r>
  <r>
    <m/>
    <x v="1"/>
    <x v="1"/>
    <x v="1"/>
    <m/>
    <m/>
    <m/>
    <x v="0"/>
    <m/>
    <x v="0"/>
    <m/>
    <m/>
    <m/>
    <m/>
    <m/>
    <m/>
    <m/>
    <m/>
    <m/>
    <m/>
    <m/>
    <m/>
    <x v="0"/>
    <x v="0"/>
    <x v="0"/>
    <m/>
    <m/>
    <x v="0"/>
    <m/>
    <m/>
    <m/>
    <m/>
    <m/>
    <m/>
    <x v="0"/>
    <x v="0"/>
    <x v="1"/>
    <x v="2"/>
    <x v="2"/>
    <x v="2"/>
    <x v="1"/>
    <x v="1"/>
    <x v="1"/>
    <x v="2"/>
    <x v="1"/>
    <x v="3"/>
    <x v="2"/>
    <x v="1"/>
    <x v="2"/>
    <x v="1"/>
    <x v="2"/>
    <x v="2"/>
    <x v="2"/>
    <x v="4"/>
    <x v="2"/>
    <x v="1"/>
    <m/>
    <m/>
    <m/>
    <m/>
  </r>
  <r>
    <m/>
    <x v="1"/>
    <x v="4"/>
    <x v="1"/>
    <m/>
    <m/>
    <m/>
    <x v="0"/>
    <m/>
    <x v="0"/>
    <m/>
    <m/>
    <m/>
    <m/>
    <m/>
    <m/>
    <m/>
    <m/>
    <m/>
    <m/>
    <m/>
    <m/>
    <x v="0"/>
    <x v="0"/>
    <x v="0"/>
    <m/>
    <m/>
    <x v="0"/>
    <m/>
    <m/>
    <m/>
    <m/>
    <m/>
    <m/>
    <x v="0"/>
    <x v="0"/>
    <x v="1"/>
    <x v="2"/>
    <x v="2"/>
    <x v="2"/>
    <x v="3"/>
    <x v="1"/>
    <x v="1"/>
    <x v="2"/>
    <x v="1"/>
    <x v="3"/>
    <x v="1"/>
    <x v="1"/>
    <x v="2"/>
    <x v="1"/>
    <x v="2"/>
    <x v="2"/>
    <x v="2"/>
    <x v="2"/>
    <x v="2"/>
    <x v="3"/>
    <m/>
    <m/>
    <m/>
    <m/>
  </r>
  <r>
    <m/>
    <x v="1"/>
    <x v="4"/>
    <x v="1"/>
    <m/>
    <m/>
    <m/>
    <x v="1"/>
    <m/>
    <x v="2"/>
    <m/>
    <m/>
    <m/>
    <m/>
    <m/>
    <m/>
    <m/>
    <m/>
    <m/>
    <m/>
    <m/>
    <m/>
    <x v="0"/>
    <x v="0"/>
    <x v="1"/>
    <m/>
    <m/>
    <x v="1"/>
    <m/>
    <m/>
    <m/>
    <m/>
    <m/>
    <m/>
    <x v="1"/>
    <x v="2"/>
    <x v="2"/>
    <x v="3"/>
    <x v="4"/>
    <x v="3"/>
    <x v="3"/>
    <x v="2"/>
    <x v="2"/>
    <x v="1"/>
    <x v="2"/>
    <x v="2"/>
    <x v="1"/>
    <x v="3"/>
    <x v="1"/>
    <x v="2"/>
    <x v="4"/>
    <x v="3"/>
    <x v="3"/>
    <x v="4"/>
    <x v="3"/>
    <x v="2"/>
    <m/>
    <m/>
    <m/>
    <m/>
  </r>
  <r>
    <m/>
    <x v="1"/>
    <x v="4"/>
    <x v="0"/>
    <m/>
    <m/>
    <m/>
    <x v="0"/>
    <m/>
    <x v="0"/>
    <m/>
    <m/>
    <m/>
    <m/>
    <m/>
    <m/>
    <m/>
    <m/>
    <m/>
    <m/>
    <m/>
    <m/>
    <x v="0"/>
    <x v="0"/>
    <x v="0"/>
    <m/>
    <m/>
    <x v="0"/>
    <m/>
    <m/>
    <m/>
    <m/>
    <m/>
    <m/>
    <x v="0"/>
    <x v="0"/>
    <x v="1"/>
    <x v="2"/>
    <x v="2"/>
    <x v="2"/>
    <x v="1"/>
    <x v="1"/>
    <x v="1"/>
    <x v="2"/>
    <x v="1"/>
    <x v="2"/>
    <x v="2"/>
    <x v="1"/>
    <x v="2"/>
    <x v="1"/>
    <x v="4"/>
    <x v="2"/>
    <x v="2"/>
    <x v="4"/>
    <x v="2"/>
    <x v="3"/>
    <m/>
    <m/>
    <m/>
    <m/>
  </r>
  <r>
    <m/>
    <x v="1"/>
    <x v="4"/>
    <x v="0"/>
    <m/>
    <m/>
    <m/>
    <x v="0"/>
    <m/>
    <x v="0"/>
    <m/>
    <m/>
    <m/>
    <m/>
    <m/>
    <m/>
    <m/>
    <m/>
    <m/>
    <m/>
    <m/>
    <m/>
    <x v="0"/>
    <x v="0"/>
    <x v="0"/>
    <m/>
    <m/>
    <x v="0"/>
    <m/>
    <m/>
    <m/>
    <m/>
    <m/>
    <m/>
    <x v="0"/>
    <x v="0"/>
    <x v="1"/>
    <x v="2"/>
    <x v="2"/>
    <x v="2"/>
    <x v="3"/>
    <x v="1"/>
    <x v="1"/>
    <x v="2"/>
    <x v="2"/>
    <x v="2"/>
    <x v="3"/>
    <x v="1"/>
    <x v="1"/>
    <x v="1"/>
    <x v="1"/>
    <x v="3"/>
    <x v="4"/>
    <x v="4"/>
    <x v="2"/>
    <x v="2"/>
    <m/>
    <m/>
    <m/>
    <m/>
  </r>
  <r>
    <m/>
    <x v="1"/>
    <x v="4"/>
    <x v="1"/>
    <m/>
    <m/>
    <m/>
    <x v="0"/>
    <m/>
    <x v="3"/>
    <m/>
    <m/>
    <m/>
    <m/>
    <m/>
    <m/>
    <m/>
    <m/>
    <m/>
    <m/>
    <m/>
    <m/>
    <x v="0"/>
    <x v="0"/>
    <x v="0"/>
    <m/>
    <m/>
    <x v="0"/>
    <m/>
    <m/>
    <m/>
    <m/>
    <m/>
    <m/>
    <x v="0"/>
    <x v="4"/>
    <x v="2"/>
    <x v="3"/>
    <x v="2"/>
    <x v="1"/>
    <x v="1"/>
    <x v="1"/>
    <x v="1"/>
    <x v="2"/>
    <x v="1"/>
    <x v="4"/>
    <x v="3"/>
    <x v="1"/>
    <x v="2"/>
    <x v="1"/>
    <x v="2"/>
    <x v="2"/>
    <x v="2"/>
    <x v="2"/>
    <x v="1"/>
    <x v="1"/>
    <m/>
    <m/>
    <m/>
    <m/>
  </r>
  <r>
    <m/>
    <x v="1"/>
    <x v="4"/>
    <x v="0"/>
    <m/>
    <m/>
    <m/>
    <x v="0"/>
    <m/>
    <x v="2"/>
    <m/>
    <m/>
    <m/>
    <m/>
    <m/>
    <m/>
    <m/>
    <m/>
    <m/>
    <m/>
    <m/>
    <m/>
    <x v="0"/>
    <x v="0"/>
    <x v="1"/>
    <m/>
    <m/>
    <x v="1"/>
    <m/>
    <m/>
    <m/>
    <m/>
    <m/>
    <m/>
    <x v="1"/>
    <x v="2"/>
    <x v="2"/>
    <x v="3"/>
    <x v="1"/>
    <x v="3"/>
    <x v="3"/>
    <x v="2"/>
    <x v="2"/>
    <x v="3"/>
    <x v="2"/>
    <x v="4"/>
    <x v="3"/>
    <x v="2"/>
    <x v="5"/>
    <x v="2"/>
    <x v="4"/>
    <x v="3"/>
    <x v="3"/>
    <x v="4"/>
    <x v="3"/>
    <x v="3"/>
    <m/>
    <m/>
    <m/>
    <m/>
  </r>
  <r>
    <m/>
    <x v="1"/>
    <x v="4"/>
    <x v="0"/>
    <m/>
    <m/>
    <m/>
    <x v="0"/>
    <m/>
    <x v="0"/>
    <m/>
    <m/>
    <m/>
    <m/>
    <m/>
    <m/>
    <m/>
    <m/>
    <m/>
    <m/>
    <m/>
    <m/>
    <x v="0"/>
    <x v="0"/>
    <x v="0"/>
    <m/>
    <m/>
    <x v="0"/>
    <m/>
    <m/>
    <m/>
    <m/>
    <m/>
    <m/>
    <x v="1"/>
    <x v="2"/>
    <x v="4"/>
    <x v="3"/>
    <x v="4"/>
    <x v="2"/>
    <x v="1"/>
    <x v="1"/>
    <x v="1"/>
    <x v="1"/>
    <x v="1"/>
    <x v="1"/>
    <x v="1"/>
    <x v="2"/>
    <x v="1"/>
    <x v="1"/>
    <x v="2"/>
    <x v="2"/>
    <x v="2"/>
    <x v="4"/>
    <x v="2"/>
    <x v="3"/>
    <m/>
    <m/>
    <m/>
    <m/>
  </r>
  <r>
    <m/>
    <x v="1"/>
    <x v="4"/>
    <x v="0"/>
    <m/>
    <m/>
    <m/>
    <x v="0"/>
    <m/>
    <x v="2"/>
    <m/>
    <m/>
    <m/>
    <m/>
    <m/>
    <m/>
    <m/>
    <m/>
    <m/>
    <m/>
    <m/>
    <m/>
    <x v="2"/>
    <x v="0"/>
    <x v="2"/>
    <m/>
    <m/>
    <x v="1"/>
    <m/>
    <m/>
    <m/>
    <m/>
    <m/>
    <m/>
    <x v="2"/>
    <x v="5"/>
    <x v="2"/>
    <x v="3"/>
    <x v="1"/>
    <x v="3"/>
    <x v="3"/>
    <x v="0"/>
    <x v="1"/>
    <x v="2"/>
    <x v="2"/>
    <x v="2"/>
    <x v="2"/>
    <x v="2"/>
    <x v="3"/>
    <x v="2"/>
    <x v="1"/>
    <x v="3"/>
    <x v="3"/>
    <x v="1"/>
    <x v="3"/>
    <x v="5"/>
    <m/>
    <m/>
    <m/>
    <m/>
  </r>
  <r>
    <m/>
    <x v="1"/>
    <x v="4"/>
    <x v="0"/>
    <m/>
    <m/>
    <m/>
    <x v="1"/>
    <m/>
    <x v="2"/>
    <m/>
    <m/>
    <m/>
    <m/>
    <m/>
    <m/>
    <m/>
    <m/>
    <m/>
    <m/>
    <m/>
    <m/>
    <x v="1"/>
    <x v="0"/>
    <x v="1"/>
    <m/>
    <m/>
    <x v="0"/>
    <m/>
    <m/>
    <m/>
    <m/>
    <m/>
    <m/>
    <x v="0"/>
    <x v="0"/>
    <x v="1"/>
    <x v="2"/>
    <x v="4"/>
    <x v="3"/>
    <x v="1"/>
    <x v="2"/>
    <x v="1"/>
    <x v="3"/>
    <x v="1"/>
    <x v="2"/>
    <x v="2"/>
    <x v="4"/>
    <x v="4"/>
    <x v="1"/>
    <x v="1"/>
    <x v="2"/>
    <x v="2"/>
    <x v="2"/>
    <x v="3"/>
    <x v="1"/>
    <m/>
    <m/>
    <m/>
    <m/>
  </r>
  <r>
    <m/>
    <x v="1"/>
    <x v="3"/>
    <x v="0"/>
    <m/>
    <m/>
    <m/>
    <x v="0"/>
    <m/>
    <x v="2"/>
    <m/>
    <m/>
    <m/>
    <m/>
    <m/>
    <m/>
    <m/>
    <m/>
    <m/>
    <m/>
    <m/>
    <m/>
    <x v="0"/>
    <x v="0"/>
    <x v="0"/>
    <m/>
    <m/>
    <x v="1"/>
    <m/>
    <m/>
    <m/>
    <m/>
    <m/>
    <m/>
    <x v="3"/>
    <x v="3"/>
    <x v="2"/>
    <x v="3"/>
    <x v="2"/>
    <x v="3"/>
    <x v="3"/>
    <x v="1"/>
    <x v="2"/>
    <x v="5"/>
    <x v="4"/>
    <x v="4"/>
    <x v="1"/>
    <x v="2"/>
    <x v="4"/>
    <x v="2"/>
    <x v="5"/>
    <x v="1"/>
    <x v="3"/>
    <x v="5"/>
    <x v="2"/>
    <x v="0"/>
    <m/>
    <m/>
    <m/>
    <m/>
  </r>
  <r>
    <m/>
    <x v="1"/>
    <x v="3"/>
    <x v="0"/>
    <m/>
    <m/>
    <m/>
    <x v="2"/>
    <m/>
    <x v="2"/>
    <m/>
    <m/>
    <m/>
    <m/>
    <m/>
    <m/>
    <m/>
    <m/>
    <m/>
    <m/>
    <m/>
    <m/>
    <x v="1"/>
    <x v="0"/>
    <x v="3"/>
    <m/>
    <m/>
    <x v="3"/>
    <m/>
    <m/>
    <m/>
    <m/>
    <m/>
    <m/>
    <x v="2"/>
    <x v="2"/>
    <x v="5"/>
    <x v="3"/>
    <x v="4"/>
    <x v="3"/>
    <x v="3"/>
    <x v="1"/>
    <x v="1"/>
    <x v="1"/>
    <x v="5"/>
    <x v="2"/>
    <x v="2"/>
    <x v="3"/>
    <x v="5"/>
    <x v="3"/>
    <x v="4"/>
    <x v="3"/>
    <x v="3"/>
    <x v="3"/>
    <x v="1"/>
    <x v="2"/>
    <m/>
    <m/>
    <m/>
    <m/>
  </r>
  <r>
    <m/>
    <x v="1"/>
    <x v="3"/>
    <x v="2"/>
    <m/>
    <m/>
    <m/>
    <x v="1"/>
    <m/>
    <x v="0"/>
    <m/>
    <m/>
    <m/>
    <m/>
    <m/>
    <m/>
    <m/>
    <m/>
    <m/>
    <m/>
    <m/>
    <m/>
    <x v="1"/>
    <x v="0"/>
    <x v="4"/>
    <m/>
    <m/>
    <x v="0"/>
    <m/>
    <m/>
    <m/>
    <m/>
    <m/>
    <m/>
    <x v="2"/>
    <x v="4"/>
    <x v="2"/>
    <x v="3"/>
    <x v="1"/>
    <x v="2"/>
    <x v="1"/>
    <x v="2"/>
    <x v="2"/>
    <x v="4"/>
    <x v="3"/>
    <x v="2"/>
    <x v="1"/>
    <x v="2"/>
    <x v="2"/>
    <x v="1"/>
    <x v="4"/>
    <x v="2"/>
    <x v="3"/>
    <x v="1"/>
    <x v="4"/>
    <x v="1"/>
    <m/>
    <m/>
    <m/>
    <m/>
  </r>
  <r>
    <m/>
    <x v="1"/>
    <x v="3"/>
    <x v="0"/>
    <m/>
    <m/>
    <m/>
    <x v="1"/>
    <m/>
    <x v="2"/>
    <m/>
    <m/>
    <m/>
    <m/>
    <m/>
    <m/>
    <m/>
    <m/>
    <m/>
    <m/>
    <m/>
    <m/>
    <x v="2"/>
    <x v="4"/>
    <x v="0"/>
    <m/>
    <m/>
    <x v="1"/>
    <m/>
    <m/>
    <m/>
    <m/>
    <m/>
    <m/>
    <x v="0"/>
    <x v="4"/>
    <x v="2"/>
    <x v="5"/>
    <x v="2"/>
    <x v="3"/>
    <x v="3"/>
    <x v="1"/>
    <x v="1"/>
    <x v="3"/>
    <x v="5"/>
    <x v="5"/>
    <x v="4"/>
    <x v="2"/>
    <x v="4"/>
    <x v="1"/>
    <x v="2"/>
    <x v="2"/>
    <x v="2"/>
    <x v="4"/>
    <x v="2"/>
    <x v="3"/>
    <m/>
    <m/>
    <m/>
    <m/>
  </r>
  <r>
    <m/>
    <x v="1"/>
    <x v="3"/>
    <x v="0"/>
    <m/>
    <m/>
    <m/>
    <x v="1"/>
    <m/>
    <x v="2"/>
    <m/>
    <m/>
    <m/>
    <m/>
    <m/>
    <m/>
    <m/>
    <m/>
    <m/>
    <m/>
    <m/>
    <m/>
    <x v="2"/>
    <x v="0"/>
    <x v="3"/>
    <m/>
    <m/>
    <x v="0"/>
    <m/>
    <m/>
    <m/>
    <m/>
    <m/>
    <m/>
    <x v="0"/>
    <x v="0"/>
    <x v="1"/>
    <x v="2"/>
    <x v="4"/>
    <x v="3"/>
    <x v="1"/>
    <x v="1"/>
    <x v="1"/>
    <x v="3"/>
    <x v="2"/>
    <x v="2"/>
    <x v="1"/>
    <x v="2"/>
    <x v="1"/>
    <x v="1"/>
    <x v="2"/>
    <x v="3"/>
    <x v="2"/>
    <x v="2"/>
    <x v="2"/>
    <x v="3"/>
    <m/>
    <m/>
    <m/>
    <m/>
  </r>
  <r>
    <m/>
    <x v="1"/>
    <x v="3"/>
    <x v="0"/>
    <m/>
    <m/>
    <m/>
    <x v="1"/>
    <m/>
    <x v="2"/>
    <m/>
    <m/>
    <m/>
    <m/>
    <m/>
    <m/>
    <m/>
    <m/>
    <m/>
    <m/>
    <m/>
    <m/>
    <x v="2"/>
    <x v="5"/>
    <x v="0"/>
    <m/>
    <m/>
    <x v="3"/>
    <m/>
    <m/>
    <m/>
    <m/>
    <m/>
    <m/>
    <x v="0"/>
    <x v="0"/>
    <x v="2"/>
    <x v="3"/>
    <x v="4"/>
    <x v="3"/>
    <x v="1"/>
    <x v="2"/>
    <x v="2"/>
    <x v="1"/>
    <x v="2"/>
    <x v="1"/>
    <x v="3"/>
    <x v="2"/>
    <x v="3"/>
    <x v="1"/>
    <x v="4"/>
    <x v="3"/>
    <x v="2"/>
    <x v="1"/>
    <x v="2"/>
    <x v="2"/>
    <m/>
    <m/>
    <m/>
    <m/>
  </r>
  <r>
    <m/>
    <x v="1"/>
    <x v="3"/>
    <x v="0"/>
    <m/>
    <m/>
    <m/>
    <x v="0"/>
    <m/>
    <x v="2"/>
    <m/>
    <m/>
    <m/>
    <m/>
    <m/>
    <m/>
    <m/>
    <m/>
    <m/>
    <m/>
    <m/>
    <m/>
    <x v="2"/>
    <x v="5"/>
    <x v="2"/>
    <m/>
    <m/>
    <x v="0"/>
    <m/>
    <m/>
    <m/>
    <m/>
    <m/>
    <m/>
    <x v="1"/>
    <x v="2"/>
    <x v="2"/>
    <x v="3"/>
    <x v="4"/>
    <x v="3"/>
    <x v="3"/>
    <x v="1"/>
    <x v="1"/>
    <x v="4"/>
    <x v="5"/>
    <x v="2"/>
    <x v="1"/>
    <x v="2"/>
    <x v="1"/>
    <x v="2"/>
    <x v="4"/>
    <x v="5"/>
    <x v="3"/>
    <x v="4"/>
    <x v="2"/>
    <x v="3"/>
    <m/>
    <m/>
    <m/>
    <m/>
  </r>
  <r>
    <m/>
    <x v="2"/>
    <x v="0"/>
    <x v="0"/>
    <m/>
    <m/>
    <m/>
    <x v="0"/>
    <m/>
    <x v="2"/>
    <m/>
    <m/>
    <m/>
    <m/>
    <m/>
    <m/>
    <m/>
    <m/>
    <m/>
    <m/>
    <m/>
    <m/>
    <x v="0"/>
    <x v="0"/>
    <x v="0"/>
    <m/>
    <m/>
    <x v="0"/>
    <m/>
    <m/>
    <m/>
    <m/>
    <m/>
    <m/>
    <x v="0"/>
    <x v="2"/>
    <x v="2"/>
    <x v="3"/>
    <x v="2"/>
    <x v="2"/>
    <x v="3"/>
    <x v="1"/>
    <x v="1"/>
    <x v="1"/>
    <x v="1"/>
    <x v="2"/>
    <x v="4"/>
    <x v="1"/>
    <x v="2"/>
    <x v="2"/>
    <x v="4"/>
    <x v="1"/>
    <x v="3"/>
    <x v="3"/>
    <x v="3"/>
    <x v="1"/>
    <m/>
    <m/>
    <m/>
    <m/>
  </r>
  <r>
    <m/>
    <x v="2"/>
    <x v="0"/>
    <x v="0"/>
    <m/>
    <m/>
    <m/>
    <x v="0"/>
    <m/>
    <x v="2"/>
    <m/>
    <m/>
    <m/>
    <m/>
    <m/>
    <m/>
    <m/>
    <m/>
    <m/>
    <m/>
    <m/>
    <m/>
    <x v="0"/>
    <x v="0"/>
    <x v="0"/>
    <m/>
    <m/>
    <x v="0"/>
    <m/>
    <m/>
    <m/>
    <m/>
    <m/>
    <m/>
    <x v="0"/>
    <x v="0"/>
    <x v="2"/>
    <x v="2"/>
    <x v="2"/>
    <x v="2"/>
    <x v="1"/>
    <x v="1"/>
    <x v="1"/>
    <x v="2"/>
    <x v="1"/>
    <x v="2"/>
    <x v="2"/>
    <x v="1"/>
    <x v="1"/>
    <x v="1"/>
    <x v="4"/>
    <x v="2"/>
    <x v="2"/>
    <x v="2"/>
    <x v="2"/>
    <x v="1"/>
    <m/>
    <m/>
    <m/>
    <m/>
  </r>
  <r>
    <m/>
    <x v="2"/>
    <x v="0"/>
    <x v="0"/>
    <m/>
    <m/>
    <m/>
    <x v="0"/>
    <m/>
    <x v="3"/>
    <m/>
    <m/>
    <m/>
    <m/>
    <m/>
    <m/>
    <m/>
    <m/>
    <m/>
    <m/>
    <m/>
    <m/>
    <x v="1"/>
    <x v="0"/>
    <x v="0"/>
    <m/>
    <m/>
    <x v="0"/>
    <m/>
    <m/>
    <m/>
    <m/>
    <m/>
    <m/>
    <x v="0"/>
    <x v="2"/>
    <x v="1"/>
    <x v="1"/>
    <x v="4"/>
    <x v="3"/>
    <x v="1"/>
    <x v="1"/>
    <x v="1"/>
    <x v="3"/>
    <x v="1"/>
    <x v="3"/>
    <x v="3"/>
    <x v="1"/>
    <x v="1"/>
    <x v="1"/>
    <x v="4"/>
    <x v="3"/>
    <x v="2"/>
    <x v="2"/>
    <x v="2"/>
    <x v="1"/>
    <m/>
    <m/>
    <m/>
    <m/>
  </r>
  <r>
    <m/>
    <x v="2"/>
    <x v="0"/>
    <x v="0"/>
    <m/>
    <m/>
    <m/>
    <x v="1"/>
    <m/>
    <x v="1"/>
    <m/>
    <m/>
    <m/>
    <m/>
    <m/>
    <m/>
    <m/>
    <m/>
    <m/>
    <m/>
    <m/>
    <m/>
    <x v="0"/>
    <x v="0"/>
    <x v="1"/>
    <m/>
    <m/>
    <x v="1"/>
    <m/>
    <m/>
    <m/>
    <m/>
    <m/>
    <m/>
    <x v="1"/>
    <x v="2"/>
    <x v="2"/>
    <x v="3"/>
    <x v="4"/>
    <x v="3"/>
    <x v="3"/>
    <x v="2"/>
    <x v="2"/>
    <x v="3"/>
    <x v="2"/>
    <x v="2"/>
    <x v="1"/>
    <x v="2"/>
    <x v="1"/>
    <x v="2"/>
    <x v="4"/>
    <x v="3"/>
    <x v="3"/>
    <x v="4"/>
    <x v="3"/>
    <x v="5"/>
    <m/>
    <m/>
    <m/>
    <m/>
  </r>
  <r>
    <m/>
    <x v="2"/>
    <x v="0"/>
    <x v="1"/>
    <m/>
    <m/>
    <m/>
    <x v="0"/>
    <m/>
    <x v="0"/>
    <m/>
    <m/>
    <m/>
    <m/>
    <m/>
    <m/>
    <m/>
    <m/>
    <m/>
    <m/>
    <m/>
    <m/>
    <x v="0"/>
    <x v="0"/>
    <x v="0"/>
    <m/>
    <m/>
    <x v="0"/>
    <m/>
    <m/>
    <m/>
    <m/>
    <m/>
    <m/>
    <x v="0"/>
    <x v="3"/>
    <x v="2"/>
    <x v="2"/>
    <x v="2"/>
    <x v="2"/>
    <x v="3"/>
    <x v="1"/>
    <x v="1"/>
    <x v="2"/>
    <x v="2"/>
    <x v="2"/>
    <x v="1"/>
    <x v="1"/>
    <x v="2"/>
    <x v="1"/>
    <x v="2"/>
    <x v="2"/>
    <x v="2"/>
    <x v="2"/>
    <x v="3"/>
    <x v="2"/>
    <m/>
    <m/>
    <m/>
    <m/>
  </r>
  <r>
    <m/>
    <x v="2"/>
    <x v="0"/>
    <x v="0"/>
    <m/>
    <m/>
    <m/>
    <x v="0"/>
    <m/>
    <x v="0"/>
    <m/>
    <m/>
    <m/>
    <m/>
    <m/>
    <m/>
    <m/>
    <m/>
    <m/>
    <m/>
    <m/>
    <m/>
    <x v="0"/>
    <x v="0"/>
    <x v="0"/>
    <m/>
    <m/>
    <x v="3"/>
    <m/>
    <m/>
    <m/>
    <m/>
    <m/>
    <m/>
    <x v="0"/>
    <x v="0"/>
    <x v="1"/>
    <x v="2"/>
    <x v="2"/>
    <x v="2"/>
    <x v="1"/>
    <x v="1"/>
    <x v="1"/>
    <x v="2"/>
    <x v="1"/>
    <x v="3"/>
    <x v="2"/>
    <x v="1"/>
    <x v="2"/>
    <x v="1"/>
    <x v="2"/>
    <x v="2"/>
    <x v="2"/>
    <x v="2"/>
    <x v="2"/>
    <x v="1"/>
    <m/>
    <m/>
    <m/>
    <m/>
  </r>
  <r>
    <m/>
    <x v="2"/>
    <x v="0"/>
    <x v="0"/>
    <m/>
    <m/>
    <m/>
    <x v="0"/>
    <m/>
    <x v="2"/>
    <m/>
    <m/>
    <m/>
    <m/>
    <m/>
    <m/>
    <m/>
    <m/>
    <m/>
    <m/>
    <m/>
    <m/>
    <x v="0"/>
    <x v="0"/>
    <x v="0"/>
    <m/>
    <m/>
    <x v="0"/>
    <m/>
    <m/>
    <m/>
    <m/>
    <m/>
    <m/>
    <x v="0"/>
    <x v="2"/>
    <x v="2"/>
    <x v="2"/>
    <x v="4"/>
    <x v="3"/>
    <x v="3"/>
    <x v="1"/>
    <x v="1"/>
    <x v="3"/>
    <x v="1"/>
    <x v="1"/>
    <x v="1"/>
    <x v="1"/>
    <x v="1"/>
    <x v="1"/>
    <x v="4"/>
    <x v="2"/>
    <x v="2"/>
    <x v="4"/>
    <x v="4"/>
    <x v="3"/>
    <m/>
    <m/>
    <m/>
    <m/>
  </r>
  <r>
    <m/>
    <x v="2"/>
    <x v="0"/>
    <x v="0"/>
    <m/>
    <m/>
    <m/>
    <x v="0"/>
    <m/>
    <x v="0"/>
    <m/>
    <m/>
    <m/>
    <m/>
    <m/>
    <m/>
    <m/>
    <m/>
    <m/>
    <m/>
    <m/>
    <m/>
    <x v="0"/>
    <x v="0"/>
    <x v="0"/>
    <m/>
    <m/>
    <x v="0"/>
    <m/>
    <m/>
    <m/>
    <m/>
    <m/>
    <m/>
    <x v="1"/>
    <x v="4"/>
    <x v="1"/>
    <x v="2"/>
    <x v="4"/>
    <x v="2"/>
    <x v="1"/>
    <x v="1"/>
    <x v="1"/>
    <x v="2"/>
    <x v="1"/>
    <x v="2"/>
    <x v="2"/>
    <x v="1"/>
    <x v="1"/>
    <x v="1"/>
    <x v="1"/>
    <x v="4"/>
    <x v="4"/>
    <x v="4"/>
    <x v="5"/>
    <x v="3"/>
    <m/>
    <m/>
    <m/>
    <m/>
  </r>
  <r>
    <m/>
    <x v="2"/>
    <x v="0"/>
    <x v="0"/>
    <m/>
    <m/>
    <m/>
    <x v="0"/>
    <m/>
    <x v="0"/>
    <m/>
    <m/>
    <m/>
    <m/>
    <m/>
    <m/>
    <m/>
    <m/>
    <m/>
    <m/>
    <m/>
    <m/>
    <x v="0"/>
    <x v="0"/>
    <x v="0"/>
    <m/>
    <m/>
    <x v="0"/>
    <m/>
    <m/>
    <m/>
    <m/>
    <m/>
    <m/>
    <x v="3"/>
    <x v="3"/>
    <x v="2"/>
    <x v="3"/>
    <x v="4"/>
    <x v="2"/>
    <x v="3"/>
    <x v="1"/>
    <x v="1"/>
    <x v="1"/>
    <x v="2"/>
    <x v="2"/>
    <x v="2"/>
    <x v="3"/>
    <x v="1"/>
    <x v="1"/>
    <x v="1"/>
    <x v="5"/>
    <x v="3"/>
    <x v="3"/>
    <x v="4"/>
    <x v="3"/>
    <m/>
    <m/>
    <m/>
    <m/>
  </r>
  <r>
    <m/>
    <x v="2"/>
    <x v="0"/>
    <x v="0"/>
    <m/>
    <m/>
    <m/>
    <x v="0"/>
    <m/>
    <x v="3"/>
    <m/>
    <m/>
    <m/>
    <m/>
    <m/>
    <m/>
    <m/>
    <m/>
    <m/>
    <m/>
    <m/>
    <m/>
    <x v="1"/>
    <x v="3"/>
    <x v="0"/>
    <m/>
    <m/>
    <x v="0"/>
    <m/>
    <m/>
    <m/>
    <m/>
    <m/>
    <m/>
    <x v="0"/>
    <x v="3"/>
    <x v="2"/>
    <x v="2"/>
    <x v="2"/>
    <x v="2"/>
    <x v="1"/>
    <x v="1"/>
    <x v="1"/>
    <x v="5"/>
    <x v="1"/>
    <x v="4"/>
    <x v="3"/>
    <x v="0"/>
    <x v="4"/>
    <x v="1"/>
    <x v="5"/>
    <x v="2"/>
    <x v="5"/>
    <x v="4"/>
    <x v="5"/>
    <x v="1"/>
    <m/>
    <m/>
    <m/>
    <m/>
  </r>
  <r>
    <m/>
    <x v="2"/>
    <x v="0"/>
    <x v="1"/>
    <m/>
    <m/>
    <m/>
    <x v="0"/>
    <m/>
    <x v="3"/>
    <m/>
    <m/>
    <m/>
    <m/>
    <m/>
    <m/>
    <m/>
    <m/>
    <m/>
    <m/>
    <m/>
    <m/>
    <x v="0"/>
    <x v="0"/>
    <x v="0"/>
    <m/>
    <m/>
    <x v="0"/>
    <m/>
    <m/>
    <m/>
    <m/>
    <m/>
    <m/>
    <x v="0"/>
    <x v="0"/>
    <x v="2"/>
    <x v="3"/>
    <x v="2"/>
    <x v="2"/>
    <x v="3"/>
    <x v="1"/>
    <x v="4"/>
    <x v="2"/>
    <x v="1"/>
    <x v="3"/>
    <x v="2"/>
    <x v="1"/>
    <x v="2"/>
    <x v="1"/>
    <x v="5"/>
    <x v="2"/>
    <x v="2"/>
    <x v="2"/>
    <x v="2"/>
    <x v="2"/>
    <m/>
    <m/>
    <m/>
    <m/>
  </r>
  <r>
    <m/>
    <x v="2"/>
    <x v="0"/>
    <x v="0"/>
    <m/>
    <m/>
    <m/>
    <x v="1"/>
    <m/>
    <x v="2"/>
    <m/>
    <m/>
    <m/>
    <m/>
    <m/>
    <m/>
    <m/>
    <m/>
    <m/>
    <m/>
    <m/>
    <m/>
    <x v="3"/>
    <x v="1"/>
    <x v="1"/>
    <m/>
    <m/>
    <x v="1"/>
    <m/>
    <m/>
    <m/>
    <m/>
    <m/>
    <m/>
    <x v="1"/>
    <x v="2"/>
    <x v="1"/>
    <x v="3"/>
    <x v="4"/>
    <x v="2"/>
    <x v="3"/>
    <x v="2"/>
    <x v="1"/>
    <x v="3"/>
    <x v="2"/>
    <x v="2"/>
    <x v="1"/>
    <x v="2"/>
    <x v="1"/>
    <x v="1"/>
    <x v="4"/>
    <x v="3"/>
    <x v="4"/>
    <x v="2"/>
    <x v="3"/>
    <x v="3"/>
    <m/>
    <m/>
    <m/>
    <m/>
  </r>
  <r>
    <m/>
    <x v="2"/>
    <x v="0"/>
    <x v="0"/>
    <m/>
    <m/>
    <m/>
    <x v="0"/>
    <m/>
    <x v="2"/>
    <m/>
    <m/>
    <m/>
    <m/>
    <m/>
    <m/>
    <m/>
    <m/>
    <m/>
    <m/>
    <m/>
    <m/>
    <x v="0"/>
    <x v="0"/>
    <x v="1"/>
    <m/>
    <m/>
    <x v="1"/>
    <m/>
    <m/>
    <m/>
    <m/>
    <m/>
    <m/>
    <x v="1"/>
    <x v="2"/>
    <x v="2"/>
    <x v="2"/>
    <x v="4"/>
    <x v="3"/>
    <x v="3"/>
    <x v="2"/>
    <x v="1"/>
    <x v="0"/>
    <x v="2"/>
    <x v="2"/>
    <x v="4"/>
    <x v="1"/>
    <x v="2"/>
    <x v="2"/>
    <x v="4"/>
    <x v="1"/>
    <x v="2"/>
    <x v="2"/>
    <x v="0"/>
    <x v="3"/>
    <m/>
    <m/>
    <m/>
    <m/>
  </r>
  <r>
    <m/>
    <x v="2"/>
    <x v="0"/>
    <x v="0"/>
    <m/>
    <m/>
    <m/>
    <x v="0"/>
    <m/>
    <x v="0"/>
    <m/>
    <m/>
    <m/>
    <m/>
    <m/>
    <m/>
    <m/>
    <m/>
    <m/>
    <m/>
    <m/>
    <m/>
    <x v="0"/>
    <x v="0"/>
    <x v="0"/>
    <m/>
    <m/>
    <x v="0"/>
    <m/>
    <m/>
    <m/>
    <m/>
    <m/>
    <m/>
    <x v="0"/>
    <x v="0"/>
    <x v="1"/>
    <x v="2"/>
    <x v="4"/>
    <x v="2"/>
    <x v="1"/>
    <x v="1"/>
    <x v="1"/>
    <x v="2"/>
    <x v="1"/>
    <x v="3"/>
    <x v="2"/>
    <x v="1"/>
    <x v="2"/>
    <x v="1"/>
    <x v="4"/>
    <x v="2"/>
    <x v="2"/>
    <x v="2"/>
    <x v="4"/>
    <x v="1"/>
    <m/>
    <m/>
    <m/>
    <m/>
  </r>
  <r>
    <m/>
    <x v="2"/>
    <x v="0"/>
    <x v="0"/>
    <m/>
    <m/>
    <m/>
    <x v="0"/>
    <m/>
    <x v="2"/>
    <m/>
    <m/>
    <m/>
    <m/>
    <m/>
    <m/>
    <m/>
    <m/>
    <m/>
    <m/>
    <m/>
    <m/>
    <x v="0"/>
    <x v="0"/>
    <x v="0"/>
    <m/>
    <m/>
    <x v="0"/>
    <m/>
    <m/>
    <m/>
    <m/>
    <m/>
    <m/>
    <x v="0"/>
    <x v="0"/>
    <x v="1"/>
    <x v="3"/>
    <x v="4"/>
    <x v="2"/>
    <x v="3"/>
    <x v="2"/>
    <x v="1"/>
    <x v="2"/>
    <x v="2"/>
    <x v="4"/>
    <x v="3"/>
    <x v="2"/>
    <x v="1"/>
    <x v="1"/>
    <x v="5"/>
    <x v="2"/>
    <x v="1"/>
    <x v="2"/>
    <x v="4"/>
    <x v="1"/>
    <m/>
    <m/>
    <m/>
    <m/>
  </r>
  <r>
    <m/>
    <x v="2"/>
    <x v="0"/>
    <x v="0"/>
    <m/>
    <m/>
    <m/>
    <x v="0"/>
    <m/>
    <x v="0"/>
    <m/>
    <m/>
    <m/>
    <m/>
    <m/>
    <m/>
    <m/>
    <m/>
    <m/>
    <m/>
    <m/>
    <m/>
    <x v="0"/>
    <x v="0"/>
    <x v="0"/>
    <m/>
    <m/>
    <x v="0"/>
    <m/>
    <m/>
    <m/>
    <m/>
    <m/>
    <m/>
    <x v="1"/>
    <x v="0"/>
    <x v="2"/>
    <x v="2"/>
    <x v="4"/>
    <x v="2"/>
    <x v="1"/>
    <x v="1"/>
    <x v="1"/>
    <x v="2"/>
    <x v="1"/>
    <x v="2"/>
    <x v="2"/>
    <x v="1"/>
    <x v="2"/>
    <x v="1"/>
    <x v="2"/>
    <x v="2"/>
    <x v="2"/>
    <x v="2"/>
    <x v="3"/>
    <x v="1"/>
    <m/>
    <m/>
    <m/>
    <m/>
  </r>
  <r>
    <m/>
    <x v="2"/>
    <x v="0"/>
    <x v="1"/>
    <m/>
    <m/>
    <m/>
    <x v="2"/>
    <m/>
    <x v="1"/>
    <m/>
    <m/>
    <m/>
    <m/>
    <m/>
    <m/>
    <m/>
    <m/>
    <m/>
    <m/>
    <m/>
    <m/>
    <x v="0"/>
    <x v="0"/>
    <x v="1"/>
    <m/>
    <m/>
    <x v="1"/>
    <m/>
    <m/>
    <m/>
    <m/>
    <m/>
    <m/>
    <x v="1"/>
    <x v="1"/>
    <x v="2"/>
    <x v="1"/>
    <x v="4"/>
    <x v="3"/>
    <x v="1"/>
    <x v="2"/>
    <x v="2"/>
    <x v="2"/>
    <x v="5"/>
    <x v="1"/>
    <x v="1"/>
    <x v="2"/>
    <x v="4"/>
    <x v="2"/>
    <x v="3"/>
    <x v="4"/>
    <x v="4"/>
    <x v="1"/>
    <x v="4"/>
    <x v="1"/>
    <m/>
    <m/>
    <m/>
    <m/>
  </r>
  <r>
    <m/>
    <x v="2"/>
    <x v="0"/>
    <x v="1"/>
    <m/>
    <m/>
    <m/>
    <x v="0"/>
    <m/>
    <x v="2"/>
    <m/>
    <m/>
    <m/>
    <m/>
    <m/>
    <m/>
    <m/>
    <m/>
    <m/>
    <m/>
    <m/>
    <m/>
    <x v="0"/>
    <x v="0"/>
    <x v="0"/>
    <m/>
    <m/>
    <x v="0"/>
    <m/>
    <m/>
    <m/>
    <m/>
    <m/>
    <m/>
    <x v="0"/>
    <x v="0"/>
    <x v="1"/>
    <x v="2"/>
    <x v="2"/>
    <x v="3"/>
    <x v="3"/>
    <x v="1"/>
    <x v="1"/>
    <x v="2"/>
    <x v="2"/>
    <x v="2"/>
    <x v="1"/>
    <x v="2"/>
    <x v="0"/>
    <x v="1"/>
    <x v="4"/>
    <x v="2"/>
    <x v="2"/>
    <x v="2"/>
    <x v="3"/>
    <x v="2"/>
    <m/>
    <m/>
    <m/>
    <m/>
  </r>
  <r>
    <m/>
    <x v="2"/>
    <x v="0"/>
    <x v="1"/>
    <m/>
    <m/>
    <m/>
    <x v="1"/>
    <m/>
    <x v="2"/>
    <m/>
    <m/>
    <m/>
    <m/>
    <m/>
    <m/>
    <m/>
    <m/>
    <m/>
    <m/>
    <m/>
    <m/>
    <x v="0"/>
    <x v="4"/>
    <x v="0"/>
    <m/>
    <m/>
    <x v="0"/>
    <m/>
    <m/>
    <m/>
    <m/>
    <m/>
    <m/>
    <x v="0"/>
    <x v="0"/>
    <x v="1"/>
    <x v="3"/>
    <x v="2"/>
    <x v="3"/>
    <x v="3"/>
    <x v="2"/>
    <x v="1"/>
    <x v="2"/>
    <x v="2"/>
    <x v="3"/>
    <x v="1"/>
    <x v="4"/>
    <x v="3"/>
    <x v="1"/>
    <x v="1"/>
    <x v="3"/>
    <x v="3"/>
    <x v="2"/>
    <x v="3"/>
    <x v="5"/>
    <m/>
    <m/>
    <m/>
    <m/>
  </r>
  <r>
    <m/>
    <x v="2"/>
    <x v="0"/>
    <x v="1"/>
    <m/>
    <m/>
    <m/>
    <x v="0"/>
    <m/>
    <x v="2"/>
    <m/>
    <m/>
    <m/>
    <m/>
    <m/>
    <m/>
    <m/>
    <m/>
    <m/>
    <m/>
    <m/>
    <m/>
    <x v="0"/>
    <x v="0"/>
    <x v="0"/>
    <m/>
    <m/>
    <x v="0"/>
    <m/>
    <m/>
    <m/>
    <m/>
    <m/>
    <m/>
    <x v="0"/>
    <x v="0"/>
    <x v="5"/>
    <x v="3"/>
    <x v="2"/>
    <x v="3"/>
    <x v="3"/>
    <x v="1"/>
    <x v="1"/>
    <x v="1"/>
    <x v="2"/>
    <x v="5"/>
    <x v="5"/>
    <x v="2"/>
    <x v="1"/>
    <x v="1"/>
    <x v="2"/>
    <x v="2"/>
    <x v="3"/>
    <x v="2"/>
    <x v="4"/>
    <x v="3"/>
    <m/>
    <m/>
    <m/>
    <m/>
  </r>
  <r>
    <m/>
    <x v="2"/>
    <x v="0"/>
    <x v="1"/>
    <m/>
    <m/>
    <m/>
    <x v="0"/>
    <m/>
    <x v="2"/>
    <m/>
    <m/>
    <m/>
    <m/>
    <m/>
    <m/>
    <m/>
    <m/>
    <m/>
    <m/>
    <m/>
    <m/>
    <x v="0"/>
    <x v="0"/>
    <x v="0"/>
    <m/>
    <m/>
    <x v="1"/>
    <m/>
    <m/>
    <m/>
    <m/>
    <m/>
    <m/>
    <x v="0"/>
    <x v="4"/>
    <x v="2"/>
    <x v="2"/>
    <x v="4"/>
    <x v="2"/>
    <x v="3"/>
    <x v="2"/>
    <x v="2"/>
    <x v="4"/>
    <x v="2"/>
    <x v="1"/>
    <x v="5"/>
    <x v="2"/>
    <x v="3"/>
    <x v="1"/>
    <x v="4"/>
    <x v="3"/>
    <x v="3"/>
    <x v="4"/>
    <x v="3"/>
    <x v="3"/>
    <m/>
    <m/>
    <m/>
    <m/>
  </r>
  <r>
    <m/>
    <x v="2"/>
    <x v="0"/>
    <x v="1"/>
    <m/>
    <m/>
    <m/>
    <x v="0"/>
    <m/>
    <x v="0"/>
    <m/>
    <m/>
    <m/>
    <m/>
    <m/>
    <m/>
    <m/>
    <m/>
    <m/>
    <m/>
    <m/>
    <m/>
    <x v="0"/>
    <x v="0"/>
    <x v="0"/>
    <m/>
    <m/>
    <x v="0"/>
    <m/>
    <m/>
    <m/>
    <m/>
    <m/>
    <m/>
    <x v="0"/>
    <x v="0"/>
    <x v="2"/>
    <x v="2"/>
    <x v="2"/>
    <x v="3"/>
    <x v="1"/>
    <x v="1"/>
    <x v="1"/>
    <x v="2"/>
    <x v="1"/>
    <x v="2"/>
    <x v="1"/>
    <x v="1"/>
    <x v="3"/>
    <x v="1"/>
    <x v="1"/>
    <x v="5"/>
    <x v="3"/>
    <x v="2"/>
    <x v="3"/>
    <x v="1"/>
    <m/>
    <m/>
    <m/>
    <m/>
  </r>
  <r>
    <m/>
    <x v="2"/>
    <x v="0"/>
    <x v="2"/>
    <m/>
    <m/>
    <m/>
    <x v="2"/>
    <m/>
    <x v="0"/>
    <m/>
    <m/>
    <m/>
    <m/>
    <m/>
    <m/>
    <m/>
    <m/>
    <m/>
    <m/>
    <m/>
    <m/>
    <x v="0"/>
    <x v="0"/>
    <x v="2"/>
    <m/>
    <m/>
    <x v="1"/>
    <m/>
    <m/>
    <m/>
    <m/>
    <m/>
    <m/>
    <x v="1"/>
    <x v="0"/>
    <x v="3"/>
    <x v="3"/>
    <x v="0"/>
    <x v="2"/>
    <x v="1"/>
    <x v="1"/>
    <x v="4"/>
    <x v="4"/>
    <x v="5"/>
    <x v="3"/>
    <x v="3"/>
    <x v="0"/>
    <x v="4"/>
    <x v="2"/>
    <x v="1"/>
    <x v="3"/>
    <x v="3"/>
    <x v="4"/>
    <x v="5"/>
    <x v="1"/>
    <m/>
    <m/>
    <m/>
    <m/>
  </r>
  <r>
    <m/>
    <x v="2"/>
    <x v="0"/>
    <x v="1"/>
    <m/>
    <m/>
    <m/>
    <x v="0"/>
    <m/>
    <x v="0"/>
    <m/>
    <m/>
    <m/>
    <m/>
    <m/>
    <m/>
    <m/>
    <m/>
    <m/>
    <m/>
    <m/>
    <m/>
    <x v="0"/>
    <x v="0"/>
    <x v="1"/>
    <m/>
    <m/>
    <x v="0"/>
    <m/>
    <m/>
    <m/>
    <m/>
    <m/>
    <m/>
    <x v="1"/>
    <x v="2"/>
    <x v="1"/>
    <x v="2"/>
    <x v="2"/>
    <x v="2"/>
    <x v="1"/>
    <x v="1"/>
    <x v="1"/>
    <x v="2"/>
    <x v="2"/>
    <x v="3"/>
    <x v="2"/>
    <x v="1"/>
    <x v="1"/>
    <x v="1"/>
    <x v="4"/>
    <x v="3"/>
    <x v="3"/>
    <x v="4"/>
    <x v="3"/>
    <x v="1"/>
    <m/>
    <m/>
    <m/>
    <m/>
  </r>
  <r>
    <m/>
    <x v="2"/>
    <x v="0"/>
    <x v="0"/>
    <m/>
    <m/>
    <m/>
    <x v="0"/>
    <m/>
    <x v="3"/>
    <m/>
    <m/>
    <m/>
    <m/>
    <m/>
    <m/>
    <m/>
    <m/>
    <m/>
    <m/>
    <m/>
    <m/>
    <x v="0"/>
    <x v="0"/>
    <x v="0"/>
    <m/>
    <m/>
    <x v="0"/>
    <m/>
    <m/>
    <m/>
    <m/>
    <m/>
    <m/>
    <x v="1"/>
    <x v="1"/>
    <x v="1"/>
    <x v="1"/>
    <x v="4"/>
    <x v="2"/>
    <x v="1"/>
    <x v="1"/>
    <x v="1"/>
    <x v="2"/>
    <x v="2"/>
    <x v="0"/>
    <x v="1"/>
    <x v="2"/>
    <x v="1"/>
    <x v="1"/>
    <x v="0"/>
    <x v="3"/>
    <x v="3"/>
    <x v="0"/>
    <x v="4"/>
    <x v="3"/>
    <m/>
    <m/>
    <m/>
    <m/>
  </r>
  <r>
    <m/>
    <x v="2"/>
    <x v="0"/>
    <x v="0"/>
    <m/>
    <m/>
    <m/>
    <x v="0"/>
    <m/>
    <x v="2"/>
    <m/>
    <m/>
    <m/>
    <m/>
    <m/>
    <m/>
    <m/>
    <m/>
    <m/>
    <m/>
    <m/>
    <m/>
    <x v="0"/>
    <x v="0"/>
    <x v="0"/>
    <m/>
    <m/>
    <x v="2"/>
    <m/>
    <m/>
    <m/>
    <m/>
    <m/>
    <m/>
    <x v="0"/>
    <x v="0"/>
    <x v="1"/>
    <x v="3"/>
    <x v="4"/>
    <x v="2"/>
    <x v="3"/>
    <x v="1"/>
    <x v="0"/>
    <x v="2"/>
    <x v="1"/>
    <x v="1"/>
    <x v="5"/>
    <x v="1"/>
    <x v="1"/>
    <x v="1"/>
    <x v="2"/>
    <x v="3"/>
    <x v="2"/>
    <x v="2"/>
    <x v="3"/>
    <x v="4"/>
    <m/>
    <m/>
    <m/>
    <m/>
  </r>
  <r>
    <m/>
    <x v="2"/>
    <x v="0"/>
    <x v="0"/>
    <m/>
    <m/>
    <m/>
    <x v="0"/>
    <m/>
    <x v="2"/>
    <m/>
    <m/>
    <m/>
    <m/>
    <m/>
    <m/>
    <m/>
    <m/>
    <m/>
    <m/>
    <m/>
    <m/>
    <x v="0"/>
    <x v="0"/>
    <x v="0"/>
    <m/>
    <m/>
    <x v="0"/>
    <m/>
    <m/>
    <m/>
    <m/>
    <m/>
    <m/>
    <x v="1"/>
    <x v="2"/>
    <x v="1"/>
    <x v="3"/>
    <x v="2"/>
    <x v="2"/>
    <x v="1"/>
    <x v="2"/>
    <x v="2"/>
    <x v="3"/>
    <x v="2"/>
    <x v="2"/>
    <x v="1"/>
    <x v="1"/>
    <x v="3"/>
    <x v="1"/>
    <x v="4"/>
    <x v="3"/>
    <x v="2"/>
    <x v="2"/>
    <x v="2"/>
    <x v="3"/>
    <m/>
    <m/>
    <m/>
    <m/>
  </r>
  <r>
    <m/>
    <x v="2"/>
    <x v="0"/>
    <x v="1"/>
    <m/>
    <m/>
    <m/>
    <x v="1"/>
    <m/>
    <x v="0"/>
    <m/>
    <m/>
    <m/>
    <m/>
    <m/>
    <m/>
    <m/>
    <m/>
    <m/>
    <m/>
    <m/>
    <m/>
    <x v="0"/>
    <x v="0"/>
    <x v="0"/>
    <m/>
    <m/>
    <x v="0"/>
    <m/>
    <m/>
    <m/>
    <m/>
    <m/>
    <m/>
    <x v="1"/>
    <x v="3"/>
    <x v="2"/>
    <x v="2"/>
    <x v="2"/>
    <x v="3"/>
    <x v="1"/>
    <x v="1"/>
    <x v="1"/>
    <x v="2"/>
    <x v="2"/>
    <x v="1"/>
    <x v="1"/>
    <x v="1"/>
    <x v="3"/>
    <x v="1"/>
    <x v="2"/>
    <x v="3"/>
    <x v="3"/>
    <x v="4"/>
    <x v="3"/>
    <x v="2"/>
    <m/>
    <m/>
    <m/>
    <m/>
  </r>
  <r>
    <m/>
    <x v="2"/>
    <x v="0"/>
    <x v="1"/>
    <m/>
    <m/>
    <m/>
    <x v="1"/>
    <m/>
    <x v="3"/>
    <m/>
    <m/>
    <m/>
    <m/>
    <m/>
    <m/>
    <m/>
    <m/>
    <m/>
    <m/>
    <m/>
    <m/>
    <x v="0"/>
    <x v="0"/>
    <x v="1"/>
    <m/>
    <m/>
    <x v="1"/>
    <m/>
    <m/>
    <m/>
    <m/>
    <m/>
    <m/>
    <x v="1"/>
    <x v="2"/>
    <x v="2"/>
    <x v="3"/>
    <x v="4"/>
    <x v="3"/>
    <x v="3"/>
    <x v="2"/>
    <x v="2"/>
    <x v="1"/>
    <x v="2"/>
    <x v="4"/>
    <x v="3"/>
    <x v="2"/>
    <x v="1"/>
    <x v="2"/>
    <x v="5"/>
    <x v="3"/>
    <x v="3"/>
    <x v="4"/>
    <x v="4"/>
    <x v="3"/>
    <m/>
    <m/>
    <m/>
    <m/>
  </r>
  <r>
    <m/>
    <x v="2"/>
    <x v="0"/>
    <x v="0"/>
    <m/>
    <m/>
    <m/>
    <x v="0"/>
    <m/>
    <x v="0"/>
    <m/>
    <m/>
    <m/>
    <m/>
    <m/>
    <m/>
    <m/>
    <m/>
    <m/>
    <m/>
    <m/>
    <m/>
    <x v="0"/>
    <x v="5"/>
    <x v="0"/>
    <m/>
    <m/>
    <x v="0"/>
    <m/>
    <m/>
    <m/>
    <m/>
    <m/>
    <m/>
    <x v="0"/>
    <x v="0"/>
    <x v="1"/>
    <x v="2"/>
    <x v="2"/>
    <x v="2"/>
    <x v="0"/>
    <x v="1"/>
    <x v="1"/>
    <x v="2"/>
    <x v="1"/>
    <x v="3"/>
    <x v="0"/>
    <x v="1"/>
    <x v="2"/>
    <x v="1"/>
    <x v="4"/>
    <x v="2"/>
    <x v="2"/>
    <x v="2"/>
    <x v="5"/>
    <x v="3"/>
    <m/>
    <m/>
    <m/>
    <m/>
  </r>
  <r>
    <m/>
    <x v="2"/>
    <x v="0"/>
    <x v="0"/>
    <m/>
    <m/>
    <m/>
    <x v="0"/>
    <m/>
    <x v="0"/>
    <m/>
    <m/>
    <m/>
    <m/>
    <m/>
    <m/>
    <m/>
    <m/>
    <m/>
    <m/>
    <m/>
    <m/>
    <x v="0"/>
    <x v="0"/>
    <x v="1"/>
    <m/>
    <m/>
    <x v="1"/>
    <m/>
    <m/>
    <m/>
    <m/>
    <m/>
    <m/>
    <x v="0"/>
    <x v="0"/>
    <x v="1"/>
    <x v="3"/>
    <x v="4"/>
    <x v="4"/>
    <x v="5"/>
    <x v="1"/>
    <x v="2"/>
    <x v="2"/>
    <x v="2"/>
    <x v="2"/>
    <x v="5"/>
    <x v="2"/>
    <x v="1"/>
    <x v="1"/>
    <x v="4"/>
    <x v="3"/>
    <x v="2"/>
    <x v="2"/>
    <x v="5"/>
    <x v="3"/>
    <m/>
    <m/>
    <m/>
    <m/>
  </r>
  <r>
    <m/>
    <x v="2"/>
    <x v="0"/>
    <x v="1"/>
    <m/>
    <m/>
    <m/>
    <x v="0"/>
    <m/>
    <x v="2"/>
    <m/>
    <m/>
    <m/>
    <m/>
    <m/>
    <m/>
    <m/>
    <m/>
    <m/>
    <m/>
    <m/>
    <m/>
    <x v="0"/>
    <x v="0"/>
    <x v="0"/>
    <m/>
    <m/>
    <x v="0"/>
    <m/>
    <m/>
    <m/>
    <m/>
    <m/>
    <m/>
    <x v="0"/>
    <x v="0"/>
    <x v="1"/>
    <x v="2"/>
    <x v="2"/>
    <x v="2"/>
    <x v="1"/>
    <x v="1"/>
    <x v="1"/>
    <x v="2"/>
    <x v="1"/>
    <x v="3"/>
    <x v="2"/>
    <x v="1"/>
    <x v="2"/>
    <x v="1"/>
    <x v="4"/>
    <x v="2"/>
    <x v="2"/>
    <x v="2"/>
    <x v="2"/>
    <x v="1"/>
    <m/>
    <m/>
    <m/>
    <m/>
  </r>
  <r>
    <m/>
    <x v="2"/>
    <x v="4"/>
    <x v="0"/>
    <m/>
    <m/>
    <m/>
    <x v="0"/>
    <m/>
    <x v="0"/>
    <m/>
    <m/>
    <m/>
    <m/>
    <m/>
    <m/>
    <m/>
    <m/>
    <m/>
    <m/>
    <m/>
    <m/>
    <x v="0"/>
    <x v="5"/>
    <x v="0"/>
    <m/>
    <m/>
    <x v="0"/>
    <m/>
    <m/>
    <m/>
    <m/>
    <m/>
    <m/>
    <x v="0"/>
    <x v="0"/>
    <x v="1"/>
    <x v="2"/>
    <x v="2"/>
    <x v="2"/>
    <x v="1"/>
    <x v="1"/>
    <x v="1"/>
    <x v="2"/>
    <x v="1"/>
    <x v="3"/>
    <x v="2"/>
    <x v="1"/>
    <x v="3"/>
    <x v="1"/>
    <x v="2"/>
    <x v="2"/>
    <x v="2"/>
    <x v="2"/>
    <x v="3"/>
    <x v="1"/>
    <m/>
    <m/>
    <m/>
    <m/>
  </r>
  <r>
    <m/>
    <x v="2"/>
    <x v="4"/>
    <x v="1"/>
    <m/>
    <m/>
    <m/>
    <x v="0"/>
    <m/>
    <x v="0"/>
    <m/>
    <m/>
    <m/>
    <m/>
    <m/>
    <m/>
    <m/>
    <m/>
    <m/>
    <m/>
    <m/>
    <m/>
    <x v="0"/>
    <x v="0"/>
    <x v="0"/>
    <m/>
    <m/>
    <x v="0"/>
    <m/>
    <m/>
    <m/>
    <m/>
    <m/>
    <m/>
    <x v="0"/>
    <x v="0"/>
    <x v="2"/>
    <x v="2"/>
    <x v="2"/>
    <x v="2"/>
    <x v="1"/>
    <x v="1"/>
    <x v="2"/>
    <x v="2"/>
    <x v="2"/>
    <x v="3"/>
    <x v="1"/>
    <x v="1"/>
    <x v="2"/>
    <x v="1"/>
    <x v="2"/>
    <x v="2"/>
    <x v="2"/>
    <x v="2"/>
    <x v="4"/>
    <x v="3"/>
    <m/>
    <m/>
    <m/>
    <m/>
  </r>
  <r>
    <m/>
    <x v="2"/>
    <x v="4"/>
    <x v="0"/>
    <m/>
    <m/>
    <m/>
    <x v="0"/>
    <m/>
    <x v="0"/>
    <m/>
    <m/>
    <m/>
    <m/>
    <m/>
    <m/>
    <m/>
    <m/>
    <m/>
    <m/>
    <m/>
    <m/>
    <x v="0"/>
    <x v="0"/>
    <x v="1"/>
    <m/>
    <m/>
    <x v="0"/>
    <m/>
    <m/>
    <m/>
    <m/>
    <m/>
    <m/>
    <x v="1"/>
    <x v="2"/>
    <x v="1"/>
    <x v="2"/>
    <x v="2"/>
    <x v="2"/>
    <x v="1"/>
    <x v="1"/>
    <x v="1"/>
    <x v="2"/>
    <x v="1"/>
    <x v="2"/>
    <x v="4"/>
    <x v="1"/>
    <x v="2"/>
    <x v="1"/>
    <x v="4"/>
    <x v="3"/>
    <x v="2"/>
    <x v="2"/>
    <x v="3"/>
    <x v="2"/>
    <m/>
    <m/>
    <m/>
    <m/>
  </r>
  <r>
    <m/>
    <x v="2"/>
    <x v="4"/>
    <x v="0"/>
    <m/>
    <m/>
    <m/>
    <x v="0"/>
    <m/>
    <x v="0"/>
    <m/>
    <m/>
    <m/>
    <m/>
    <m/>
    <m/>
    <m/>
    <m/>
    <m/>
    <m/>
    <m/>
    <m/>
    <x v="0"/>
    <x v="0"/>
    <x v="0"/>
    <m/>
    <m/>
    <x v="0"/>
    <m/>
    <m/>
    <m/>
    <m/>
    <m/>
    <m/>
    <x v="0"/>
    <x v="0"/>
    <x v="2"/>
    <x v="2"/>
    <x v="2"/>
    <x v="2"/>
    <x v="1"/>
    <x v="1"/>
    <x v="1"/>
    <x v="2"/>
    <x v="1"/>
    <x v="3"/>
    <x v="1"/>
    <x v="1"/>
    <x v="2"/>
    <x v="1"/>
    <x v="4"/>
    <x v="2"/>
    <x v="2"/>
    <x v="2"/>
    <x v="3"/>
    <x v="1"/>
    <m/>
    <m/>
    <m/>
    <m/>
  </r>
  <r>
    <m/>
    <x v="2"/>
    <x v="4"/>
    <x v="0"/>
    <m/>
    <m/>
    <m/>
    <x v="0"/>
    <m/>
    <x v="0"/>
    <m/>
    <m/>
    <m/>
    <m/>
    <m/>
    <m/>
    <m/>
    <m/>
    <m/>
    <m/>
    <m/>
    <m/>
    <x v="0"/>
    <x v="0"/>
    <x v="0"/>
    <m/>
    <m/>
    <x v="0"/>
    <m/>
    <m/>
    <m/>
    <m/>
    <m/>
    <m/>
    <x v="0"/>
    <x v="0"/>
    <x v="1"/>
    <x v="2"/>
    <x v="2"/>
    <x v="2"/>
    <x v="1"/>
    <x v="1"/>
    <x v="1"/>
    <x v="2"/>
    <x v="1"/>
    <x v="2"/>
    <x v="2"/>
    <x v="1"/>
    <x v="2"/>
    <x v="1"/>
    <x v="4"/>
    <x v="2"/>
    <x v="2"/>
    <x v="2"/>
    <x v="3"/>
    <x v="1"/>
    <m/>
    <m/>
    <m/>
    <m/>
  </r>
  <r>
    <m/>
    <x v="2"/>
    <x v="4"/>
    <x v="1"/>
    <m/>
    <m/>
    <m/>
    <x v="1"/>
    <m/>
    <x v="3"/>
    <m/>
    <m/>
    <m/>
    <m/>
    <m/>
    <m/>
    <m/>
    <m/>
    <m/>
    <m/>
    <m/>
    <m/>
    <x v="0"/>
    <x v="0"/>
    <x v="4"/>
    <m/>
    <m/>
    <x v="0"/>
    <m/>
    <m/>
    <m/>
    <m/>
    <m/>
    <m/>
    <x v="4"/>
    <x v="1"/>
    <x v="1"/>
    <x v="3"/>
    <x v="2"/>
    <x v="3"/>
    <x v="3"/>
    <x v="1"/>
    <x v="1"/>
    <x v="2"/>
    <x v="1"/>
    <x v="3"/>
    <x v="2"/>
    <x v="1"/>
    <x v="2"/>
    <x v="1"/>
    <x v="4"/>
    <x v="2"/>
    <x v="3"/>
    <x v="3"/>
    <x v="3"/>
    <x v="1"/>
    <m/>
    <m/>
    <m/>
    <m/>
  </r>
  <r>
    <m/>
    <x v="2"/>
    <x v="4"/>
    <x v="0"/>
    <m/>
    <m/>
    <m/>
    <x v="0"/>
    <m/>
    <x v="0"/>
    <m/>
    <m/>
    <m/>
    <m/>
    <m/>
    <m/>
    <m/>
    <m/>
    <m/>
    <m/>
    <m/>
    <m/>
    <x v="0"/>
    <x v="0"/>
    <x v="0"/>
    <m/>
    <m/>
    <x v="0"/>
    <m/>
    <m/>
    <m/>
    <m/>
    <m/>
    <m/>
    <x v="0"/>
    <x v="0"/>
    <x v="1"/>
    <x v="2"/>
    <x v="2"/>
    <x v="2"/>
    <x v="1"/>
    <x v="1"/>
    <x v="1"/>
    <x v="2"/>
    <x v="1"/>
    <x v="2"/>
    <x v="2"/>
    <x v="1"/>
    <x v="2"/>
    <x v="1"/>
    <x v="2"/>
    <x v="2"/>
    <x v="3"/>
    <x v="2"/>
    <x v="2"/>
    <x v="3"/>
    <m/>
    <m/>
    <m/>
    <m/>
  </r>
  <r>
    <m/>
    <x v="2"/>
    <x v="4"/>
    <x v="1"/>
    <m/>
    <m/>
    <m/>
    <x v="1"/>
    <m/>
    <x v="4"/>
    <m/>
    <m/>
    <m/>
    <m/>
    <m/>
    <m/>
    <m/>
    <m/>
    <m/>
    <m/>
    <m/>
    <m/>
    <x v="0"/>
    <x v="0"/>
    <x v="1"/>
    <m/>
    <m/>
    <x v="0"/>
    <m/>
    <m/>
    <m/>
    <m/>
    <m/>
    <m/>
    <x v="0"/>
    <x v="2"/>
    <x v="1"/>
    <x v="2"/>
    <x v="2"/>
    <x v="2"/>
    <x v="3"/>
    <x v="2"/>
    <x v="1"/>
    <x v="3"/>
    <x v="1"/>
    <x v="2"/>
    <x v="1"/>
    <x v="1"/>
    <x v="1"/>
    <x v="1"/>
    <x v="4"/>
    <x v="2"/>
    <x v="2"/>
    <x v="2"/>
    <x v="4"/>
    <x v="2"/>
    <m/>
    <m/>
    <m/>
    <m/>
  </r>
  <r>
    <m/>
    <x v="2"/>
    <x v="4"/>
    <x v="0"/>
    <m/>
    <m/>
    <m/>
    <x v="0"/>
    <m/>
    <x v="0"/>
    <m/>
    <m/>
    <m/>
    <m/>
    <m/>
    <m/>
    <m/>
    <m/>
    <m/>
    <m/>
    <m/>
    <m/>
    <x v="0"/>
    <x v="0"/>
    <x v="0"/>
    <m/>
    <m/>
    <x v="0"/>
    <m/>
    <m/>
    <m/>
    <m/>
    <m/>
    <m/>
    <x v="0"/>
    <x v="0"/>
    <x v="2"/>
    <x v="2"/>
    <x v="2"/>
    <x v="2"/>
    <x v="1"/>
    <x v="1"/>
    <x v="1"/>
    <x v="3"/>
    <x v="1"/>
    <x v="3"/>
    <x v="2"/>
    <x v="1"/>
    <x v="2"/>
    <x v="1"/>
    <x v="2"/>
    <x v="2"/>
    <x v="3"/>
    <x v="4"/>
    <x v="3"/>
    <x v="1"/>
    <m/>
    <m/>
    <m/>
    <m/>
  </r>
  <r>
    <m/>
    <x v="2"/>
    <x v="4"/>
    <x v="1"/>
    <m/>
    <m/>
    <m/>
    <x v="0"/>
    <m/>
    <x v="0"/>
    <m/>
    <m/>
    <m/>
    <m/>
    <m/>
    <m/>
    <m/>
    <m/>
    <m/>
    <m/>
    <m/>
    <m/>
    <x v="0"/>
    <x v="0"/>
    <x v="0"/>
    <m/>
    <m/>
    <x v="0"/>
    <m/>
    <m/>
    <m/>
    <m/>
    <m/>
    <m/>
    <x v="0"/>
    <x v="0"/>
    <x v="2"/>
    <x v="2"/>
    <x v="2"/>
    <x v="2"/>
    <x v="1"/>
    <x v="1"/>
    <x v="1"/>
    <x v="2"/>
    <x v="1"/>
    <x v="3"/>
    <x v="2"/>
    <x v="1"/>
    <x v="2"/>
    <x v="1"/>
    <x v="2"/>
    <x v="2"/>
    <x v="2"/>
    <x v="2"/>
    <x v="4"/>
    <x v="1"/>
    <m/>
    <m/>
    <m/>
    <m/>
  </r>
  <r>
    <m/>
    <x v="2"/>
    <x v="4"/>
    <x v="1"/>
    <m/>
    <m/>
    <m/>
    <x v="0"/>
    <m/>
    <x v="0"/>
    <m/>
    <m/>
    <m/>
    <m/>
    <m/>
    <m/>
    <m/>
    <m/>
    <m/>
    <m/>
    <m/>
    <m/>
    <x v="0"/>
    <x v="0"/>
    <x v="0"/>
    <m/>
    <m/>
    <x v="1"/>
    <m/>
    <m/>
    <m/>
    <m/>
    <m/>
    <m/>
    <x v="0"/>
    <x v="0"/>
    <x v="1"/>
    <x v="2"/>
    <x v="2"/>
    <x v="2"/>
    <x v="1"/>
    <x v="1"/>
    <x v="1"/>
    <x v="2"/>
    <x v="1"/>
    <x v="2"/>
    <x v="2"/>
    <x v="1"/>
    <x v="2"/>
    <x v="1"/>
    <x v="4"/>
    <x v="3"/>
    <x v="3"/>
    <x v="2"/>
    <x v="2"/>
    <x v="3"/>
    <m/>
    <m/>
    <m/>
    <m/>
  </r>
  <r>
    <m/>
    <x v="2"/>
    <x v="4"/>
    <x v="1"/>
    <m/>
    <m/>
    <m/>
    <x v="0"/>
    <m/>
    <x v="0"/>
    <m/>
    <m/>
    <m/>
    <m/>
    <m/>
    <m/>
    <m/>
    <m/>
    <m/>
    <m/>
    <m/>
    <m/>
    <x v="0"/>
    <x v="0"/>
    <x v="0"/>
    <m/>
    <m/>
    <x v="0"/>
    <m/>
    <m/>
    <m/>
    <m/>
    <m/>
    <m/>
    <x v="0"/>
    <x v="0"/>
    <x v="1"/>
    <x v="2"/>
    <x v="2"/>
    <x v="2"/>
    <x v="1"/>
    <x v="1"/>
    <x v="1"/>
    <x v="2"/>
    <x v="1"/>
    <x v="2"/>
    <x v="2"/>
    <x v="1"/>
    <x v="2"/>
    <x v="1"/>
    <x v="2"/>
    <x v="2"/>
    <x v="3"/>
    <x v="2"/>
    <x v="2"/>
    <x v="3"/>
    <m/>
    <m/>
    <m/>
    <m/>
  </r>
  <r>
    <m/>
    <x v="2"/>
    <x v="4"/>
    <x v="1"/>
    <m/>
    <m/>
    <m/>
    <x v="0"/>
    <m/>
    <x v="3"/>
    <m/>
    <m/>
    <m/>
    <m/>
    <m/>
    <m/>
    <m/>
    <m/>
    <m/>
    <m/>
    <m/>
    <m/>
    <x v="1"/>
    <x v="0"/>
    <x v="0"/>
    <m/>
    <m/>
    <x v="3"/>
    <m/>
    <m/>
    <m/>
    <m/>
    <m/>
    <m/>
    <x v="0"/>
    <x v="0"/>
    <x v="1"/>
    <x v="1"/>
    <x v="1"/>
    <x v="2"/>
    <x v="1"/>
    <x v="1"/>
    <x v="4"/>
    <x v="2"/>
    <x v="1"/>
    <x v="4"/>
    <x v="3"/>
    <x v="3"/>
    <x v="5"/>
    <x v="3"/>
    <x v="2"/>
    <x v="2"/>
    <x v="2"/>
    <x v="3"/>
    <x v="2"/>
    <x v="3"/>
    <m/>
    <m/>
    <m/>
    <m/>
  </r>
  <r>
    <m/>
    <x v="2"/>
    <x v="4"/>
    <x v="0"/>
    <m/>
    <m/>
    <m/>
    <x v="0"/>
    <m/>
    <x v="3"/>
    <m/>
    <m/>
    <m/>
    <m/>
    <m/>
    <m/>
    <m/>
    <m/>
    <m/>
    <m/>
    <m/>
    <m/>
    <x v="5"/>
    <x v="0"/>
    <x v="4"/>
    <m/>
    <m/>
    <x v="0"/>
    <m/>
    <m/>
    <m/>
    <m/>
    <m/>
    <m/>
    <x v="0"/>
    <x v="3"/>
    <x v="4"/>
    <x v="1"/>
    <x v="2"/>
    <x v="2"/>
    <x v="1"/>
    <x v="1"/>
    <x v="4"/>
    <x v="1"/>
    <x v="1"/>
    <x v="3"/>
    <x v="3"/>
    <x v="1"/>
    <x v="2"/>
    <x v="3"/>
    <x v="2"/>
    <x v="2"/>
    <x v="1"/>
    <x v="3"/>
    <x v="2"/>
    <x v="2"/>
    <m/>
    <m/>
    <m/>
    <m/>
  </r>
  <r>
    <m/>
    <x v="2"/>
    <x v="4"/>
    <x v="1"/>
    <m/>
    <m/>
    <m/>
    <x v="0"/>
    <m/>
    <x v="0"/>
    <m/>
    <m/>
    <m/>
    <m/>
    <m/>
    <m/>
    <m/>
    <m/>
    <m/>
    <m/>
    <m/>
    <m/>
    <x v="0"/>
    <x v="0"/>
    <x v="0"/>
    <m/>
    <m/>
    <x v="0"/>
    <m/>
    <m/>
    <m/>
    <m/>
    <m/>
    <m/>
    <x v="0"/>
    <x v="0"/>
    <x v="1"/>
    <x v="2"/>
    <x v="2"/>
    <x v="2"/>
    <x v="1"/>
    <x v="1"/>
    <x v="1"/>
    <x v="2"/>
    <x v="1"/>
    <x v="2"/>
    <x v="2"/>
    <x v="1"/>
    <x v="2"/>
    <x v="1"/>
    <x v="2"/>
    <x v="2"/>
    <x v="3"/>
    <x v="2"/>
    <x v="3"/>
    <x v="1"/>
    <m/>
    <m/>
    <m/>
    <m/>
  </r>
  <r>
    <m/>
    <x v="2"/>
    <x v="4"/>
    <x v="1"/>
    <m/>
    <m/>
    <m/>
    <x v="0"/>
    <m/>
    <x v="0"/>
    <m/>
    <m/>
    <m/>
    <m/>
    <m/>
    <m/>
    <m/>
    <m/>
    <m/>
    <m/>
    <m/>
    <m/>
    <x v="5"/>
    <x v="5"/>
    <x v="1"/>
    <m/>
    <m/>
    <x v="1"/>
    <m/>
    <m/>
    <m/>
    <m/>
    <m/>
    <m/>
    <x v="0"/>
    <x v="0"/>
    <x v="1"/>
    <x v="2"/>
    <x v="2"/>
    <x v="2"/>
    <x v="1"/>
    <x v="1"/>
    <x v="1"/>
    <x v="2"/>
    <x v="1"/>
    <x v="3"/>
    <x v="2"/>
    <x v="1"/>
    <x v="2"/>
    <x v="1"/>
    <x v="2"/>
    <x v="2"/>
    <x v="2"/>
    <x v="2"/>
    <x v="2"/>
    <x v="1"/>
    <m/>
    <m/>
    <m/>
    <m/>
  </r>
  <r>
    <m/>
    <x v="2"/>
    <x v="4"/>
    <x v="1"/>
    <m/>
    <m/>
    <m/>
    <x v="0"/>
    <m/>
    <x v="2"/>
    <m/>
    <m/>
    <m/>
    <m/>
    <m/>
    <m/>
    <m/>
    <m/>
    <m/>
    <m/>
    <m/>
    <m/>
    <x v="0"/>
    <x v="0"/>
    <x v="0"/>
    <m/>
    <m/>
    <x v="0"/>
    <m/>
    <m/>
    <m/>
    <m/>
    <m/>
    <m/>
    <x v="0"/>
    <x v="0"/>
    <x v="2"/>
    <x v="3"/>
    <x v="4"/>
    <x v="2"/>
    <x v="3"/>
    <x v="2"/>
    <x v="0"/>
    <x v="2"/>
    <x v="2"/>
    <x v="5"/>
    <x v="2"/>
    <x v="1"/>
    <x v="3"/>
    <x v="1"/>
    <x v="4"/>
    <x v="3"/>
    <x v="3"/>
    <x v="4"/>
    <x v="3"/>
    <x v="1"/>
    <m/>
    <m/>
    <m/>
    <m/>
  </r>
  <r>
    <m/>
    <x v="2"/>
    <x v="4"/>
    <x v="1"/>
    <m/>
    <m/>
    <m/>
    <x v="0"/>
    <m/>
    <x v="0"/>
    <m/>
    <m/>
    <m/>
    <m/>
    <m/>
    <m/>
    <m/>
    <m/>
    <m/>
    <m/>
    <m/>
    <m/>
    <x v="2"/>
    <x v="0"/>
    <x v="0"/>
    <m/>
    <m/>
    <x v="0"/>
    <m/>
    <m/>
    <m/>
    <m/>
    <m/>
    <m/>
    <x v="0"/>
    <x v="0"/>
    <x v="1"/>
    <x v="2"/>
    <x v="2"/>
    <x v="2"/>
    <x v="1"/>
    <x v="2"/>
    <x v="1"/>
    <x v="2"/>
    <x v="1"/>
    <x v="3"/>
    <x v="2"/>
    <x v="1"/>
    <x v="2"/>
    <x v="1"/>
    <x v="2"/>
    <x v="2"/>
    <x v="2"/>
    <x v="2"/>
    <x v="0"/>
    <x v="4"/>
    <m/>
    <m/>
    <m/>
    <m/>
  </r>
  <r>
    <m/>
    <x v="2"/>
    <x v="4"/>
    <x v="1"/>
    <m/>
    <m/>
    <m/>
    <x v="0"/>
    <m/>
    <x v="2"/>
    <m/>
    <m/>
    <m/>
    <m/>
    <m/>
    <m/>
    <m/>
    <m/>
    <m/>
    <m/>
    <m/>
    <m/>
    <x v="5"/>
    <x v="0"/>
    <x v="2"/>
    <m/>
    <m/>
    <x v="0"/>
    <m/>
    <m/>
    <m/>
    <m/>
    <m/>
    <m/>
    <x v="2"/>
    <x v="0"/>
    <x v="1"/>
    <x v="3"/>
    <x v="1"/>
    <x v="2"/>
    <x v="1"/>
    <x v="1"/>
    <x v="0"/>
    <x v="2"/>
    <x v="5"/>
    <x v="3"/>
    <x v="1"/>
    <x v="1"/>
    <x v="2"/>
    <x v="1"/>
    <x v="2"/>
    <x v="4"/>
    <x v="4"/>
    <x v="2"/>
    <x v="0"/>
    <x v="1"/>
    <m/>
    <m/>
    <m/>
    <m/>
  </r>
  <r>
    <m/>
    <x v="2"/>
    <x v="4"/>
    <x v="1"/>
    <m/>
    <m/>
    <m/>
    <x v="0"/>
    <m/>
    <x v="0"/>
    <m/>
    <m/>
    <m/>
    <m/>
    <m/>
    <m/>
    <m/>
    <m/>
    <m/>
    <m/>
    <m/>
    <m/>
    <x v="5"/>
    <x v="0"/>
    <x v="0"/>
    <m/>
    <m/>
    <x v="0"/>
    <m/>
    <m/>
    <m/>
    <m/>
    <m/>
    <m/>
    <x v="0"/>
    <x v="0"/>
    <x v="1"/>
    <x v="2"/>
    <x v="2"/>
    <x v="2"/>
    <x v="1"/>
    <x v="2"/>
    <x v="0"/>
    <x v="2"/>
    <x v="1"/>
    <x v="3"/>
    <x v="2"/>
    <x v="1"/>
    <x v="2"/>
    <x v="1"/>
    <x v="2"/>
    <x v="2"/>
    <x v="2"/>
    <x v="2"/>
    <x v="0"/>
    <x v="4"/>
    <m/>
    <m/>
    <m/>
    <m/>
  </r>
  <r>
    <m/>
    <x v="2"/>
    <x v="4"/>
    <x v="1"/>
    <m/>
    <m/>
    <m/>
    <x v="0"/>
    <m/>
    <x v="0"/>
    <m/>
    <m/>
    <m/>
    <m/>
    <m/>
    <m/>
    <m/>
    <m/>
    <m/>
    <m/>
    <m/>
    <m/>
    <x v="0"/>
    <x v="3"/>
    <x v="2"/>
    <m/>
    <m/>
    <x v="0"/>
    <m/>
    <m/>
    <m/>
    <m/>
    <m/>
    <m/>
    <x v="0"/>
    <x v="3"/>
    <x v="5"/>
    <x v="2"/>
    <x v="1"/>
    <x v="0"/>
    <x v="1"/>
    <x v="4"/>
    <x v="0"/>
    <x v="3"/>
    <x v="3"/>
    <x v="2"/>
    <x v="2"/>
    <x v="1"/>
    <x v="2"/>
    <x v="1"/>
    <x v="2"/>
    <x v="2"/>
    <x v="2"/>
    <x v="3"/>
    <x v="2"/>
    <x v="2"/>
    <m/>
    <m/>
    <m/>
    <m/>
  </r>
  <r>
    <m/>
    <x v="2"/>
    <x v="4"/>
    <x v="0"/>
    <m/>
    <m/>
    <m/>
    <x v="0"/>
    <m/>
    <x v="2"/>
    <m/>
    <m/>
    <m/>
    <m/>
    <m/>
    <m/>
    <m/>
    <m/>
    <m/>
    <m/>
    <m/>
    <m/>
    <x v="0"/>
    <x v="0"/>
    <x v="1"/>
    <m/>
    <m/>
    <x v="0"/>
    <m/>
    <m/>
    <m/>
    <m/>
    <m/>
    <m/>
    <x v="1"/>
    <x v="2"/>
    <x v="1"/>
    <x v="2"/>
    <x v="4"/>
    <x v="2"/>
    <x v="3"/>
    <x v="1"/>
    <x v="1"/>
    <x v="2"/>
    <x v="2"/>
    <x v="2"/>
    <x v="2"/>
    <x v="1"/>
    <x v="1"/>
    <x v="1"/>
    <x v="2"/>
    <x v="2"/>
    <x v="2"/>
    <x v="2"/>
    <x v="3"/>
    <x v="1"/>
    <m/>
    <m/>
    <m/>
    <m/>
  </r>
  <r>
    <m/>
    <x v="2"/>
    <x v="4"/>
    <x v="0"/>
    <m/>
    <m/>
    <m/>
    <x v="0"/>
    <m/>
    <x v="0"/>
    <m/>
    <m/>
    <m/>
    <m/>
    <m/>
    <m/>
    <m/>
    <m/>
    <m/>
    <m/>
    <m/>
    <m/>
    <x v="0"/>
    <x v="0"/>
    <x v="0"/>
    <m/>
    <m/>
    <x v="0"/>
    <m/>
    <m/>
    <m/>
    <m/>
    <m/>
    <m/>
    <x v="0"/>
    <x v="0"/>
    <x v="1"/>
    <x v="2"/>
    <x v="2"/>
    <x v="2"/>
    <x v="1"/>
    <x v="1"/>
    <x v="1"/>
    <x v="2"/>
    <x v="1"/>
    <x v="2"/>
    <x v="2"/>
    <x v="1"/>
    <x v="1"/>
    <x v="1"/>
    <x v="4"/>
    <x v="3"/>
    <x v="2"/>
    <x v="2"/>
    <x v="3"/>
    <x v="3"/>
    <m/>
    <m/>
    <m/>
    <m/>
  </r>
  <r>
    <m/>
    <x v="2"/>
    <x v="4"/>
    <x v="0"/>
    <m/>
    <m/>
    <m/>
    <x v="0"/>
    <m/>
    <x v="0"/>
    <m/>
    <m/>
    <m/>
    <m/>
    <m/>
    <m/>
    <m/>
    <m/>
    <m/>
    <m/>
    <m/>
    <m/>
    <x v="0"/>
    <x v="0"/>
    <x v="1"/>
    <m/>
    <m/>
    <x v="0"/>
    <m/>
    <m/>
    <m/>
    <m/>
    <m/>
    <m/>
    <x v="0"/>
    <x v="0"/>
    <x v="1"/>
    <x v="2"/>
    <x v="2"/>
    <x v="2"/>
    <x v="3"/>
    <x v="1"/>
    <x v="1"/>
    <x v="2"/>
    <x v="2"/>
    <x v="2"/>
    <x v="2"/>
    <x v="1"/>
    <x v="1"/>
    <x v="1"/>
    <x v="1"/>
    <x v="3"/>
    <x v="4"/>
    <x v="4"/>
    <x v="3"/>
    <x v="1"/>
    <m/>
    <m/>
    <m/>
    <m/>
  </r>
  <r>
    <m/>
    <x v="2"/>
    <x v="4"/>
    <x v="0"/>
    <m/>
    <m/>
    <m/>
    <x v="1"/>
    <m/>
    <x v="2"/>
    <m/>
    <m/>
    <m/>
    <m/>
    <m/>
    <m/>
    <m/>
    <m/>
    <m/>
    <m/>
    <m/>
    <m/>
    <x v="0"/>
    <x v="0"/>
    <x v="3"/>
    <m/>
    <m/>
    <x v="0"/>
    <m/>
    <m/>
    <m/>
    <m/>
    <m/>
    <m/>
    <x v="0"/>
    <x v="2"/>
    <x v="2"/>
    <x v="3"/>
    <x v="2"/>
    <x v="2"/>
    <x v="3"/>
    <x v="1"/>
    <x v="2"/>
    <x v="3"/>
    <x v="1"/>
    <x v="2"/>
    <x v="3"/>
    <x v="1"/>
    <x v="3"/>
    <x v="1"/>
    <x v="4"/>
    <x v="2"/>
    <x v="2"/>
    <x v="2"/>
    <x v="5"/>
    <x v="1"/>
    <m/>
    <m/>
    <m/>
    <m/>
  </r>
  <r>
    <m/>
    <x v="2"/>
    <x v="4"/>
    <x v="1"/>
    <m/>
    <m/>
    <m/>
    <x v="3"/>
    <m/>
    <x v="4"/>
    <m/>
    <m/>
    <m/>
    <m/>
    <m/>
    <m/>
    <m/>
    <m/>
    <m/>
    <m/>
    <m/>
    <m/>
    <x v="0"/>
    <x v="0"/>
    <x v="4"/>
    <m/>
    <m/>
    <x v="3"/>
    <m/>
    <m/>
    <m/>
    <m/>
    <m/>
    <m/>
    <x v="4"/>
    <x v="1"/>
    <x v="4"/>
    <x v="4"/>
    <x v="1"/>
    <x v="1"/>
    <x v="4"/>
    <x v="5"/>
    <x v="3"/>
    <x v="1"/>
    <x v="4"/>
    <x v="4"/>
    <x v="3"/>
    <x v="3"/>
    <x v="5"/>
    <x v="3"/>
    <x v="5"/>
    <x v="1"/>
    <x v="1"/>
    <x v="3"/>
    <x v="1"/>
    <x v="2"/>
    <m/>
    <m/>
    <m/>
    <m/>
  </r>
  <r>
    <m/>
    <x v="2"/>
    <x v="4"/>
    <x v="1"/>
    <m/>
    <m/>
    <m/>
    <x v="2"/>
    <m/>
    <x v="4"/>
    <m/>
    <m/>
    <m/>
    <m/>
    <m/>
    <m/>
    <m/>
    <m/>
    <m/>
    <m/>
    <m/>
    <m/>
    <x v="0"/>
    <x v="0"/>
    <x v="3"/>
    <m/>
    <m/>
    <x v="0"/>
    <m/>
    <m/>
    <m/>
    <m/>
    <m/>
    <m/>
    <x v="4"/>
    <x v="1"/>
    <x v="4"/>
    <x v="4"/>
    <x v="5"/>
    <x v="3"/>
    <x v="3"/>
    <x v="1"/>
    <x v="1"/>
    <x v="2"/>
    <x v="3"/>
    <x v="5"/>
    <x v="4"/>
    <x v="1"/>
    <x v="4"/>
    <x v="1"/>
    <x v="2"/>
    <x v="4"/>
    <x v="3"/>
    <x v="2"/>
    <x v="5"/>
    <x v="4"/>
    <m/>
    <m/>
    <m/>
    <m/>
  </r>
  <r>
    <m/>
    <x v="2"/>
    <x v="4"/>
    <x v="0"/>
    <m/>
    <m/>
    <m/>
    <x v="1"/>
    <m/>
    <x v="3"/>
    <m/>
    <m/>
    <m/>
    <m/>
    <m/>
    <m/>
    <m/>
    <m/>
    <m/>
    <m/>
    <m/>
    <m/>
    <x v="0"/>
    <x v="0"/>
    <x v="1"/>
    <m/>
    <m/>
    <x v="0"/>
    <m/>
    <m/>
    <m/>
    <m/>
    <m/>
    <m/>
    <x v="1"/>
    <x v="3"/>
    <x v="2"/>
    <x v="3"/>
    <x v="3"/>
    <x v="1"/>
    <x v="4"/>
    <x v="2"/>
    <x v="2"/>
    <x v="1"/>
    <x v="2"/>
    <x v="4"/>
    <x v="5"/>
    <x v="2"/>
    <x v="3"/>
    <x v="2"/>
    <x v="4"/>
    <x v="1"/>
    <x v="1"/>
    <x v="2"/>
    <x v="1"/>
    <x v="3"/>
    <m/>
    <m/>
    <m/>
    <m/>
  </r>
  <r>
    <m/>
    <x v="2"/>
    <x v="4"/>
    <x v="0"/>
    <m/>
    <m/>
    <m/>
    <x v="0"/>
    <m/>
    <x v="2"/>
    <m/>
    <m/>
    <m/>
    <m/>
    <m/>
    <m/>
    <m/>
    <m/>
    <m/>
    <m/>
    <m/>
    <m/>
    <x v="0"/>
    <x v="0"/>
    <x v="0"/>
    <m/>
    <m/>
    <x v="0"/>
    <m/>
    <m/>
    <m/>
    <m/>
    <m/>
    <m/>
    <x v="0"/>
    <x v="0"/>
    <x v="1"/>
    <x v="3"/>
    <x v="2"/>
    <x v="2"/>
    <x v="1"/>
    <x v="1"/>
    <x v="1"/>
    <x v="2"/>
    <x v="2"/>
    <x v="3"/>
    <x v="2"/>
    <x v="1"/>
    <x v="3"/>
    <x v="1"/>
    <x v="4"/>
    <x v="3"/>
    <x v="2"/>
    <x v="2"/>
    <x v="3"/>
    <x v="2"/>
    <m/>
    <m/>
    <m/>
    <m/>
  </r>
  <r>
    <m/>
    <x v="2"/>
    <x v="4"/>
    <x v="0"/>
    <m/>
    <m/>
    <m/>
    <x v="1"/>
    <m/>
    <x v="2"/>
    <m/>
    <m/>
    <m/>
    <m/>
    <m/>
    <m/>
    <m/>
    <m/>
    <m/>
    <m/>
    <m/>
    <m/>
    <x v="0"/>
    <x v="0"/>
    <x v="0"/>
    <m/>
    <m/>
    <x v="0"/>
    <m/>
    <m/>
    <m/>
    <m/>
    <m/>
    <m/>
    <x v="0"/>
    <x v="2"/>
    <x v="2"/>
    <x v="3"/>
    <x v="1"/>
    <x v="3"/>
    <x v="3"/>
    <x v="2"/>
    <x v="2"/>
    <x v="2"/>
    <x v="2"/>
    <x v="4"/>
    <x v="2"/>
    <x v="1"/>
    <x v="2"/>
    <x v="1"/>
    <x v="4"/>
    <x v="2"/>
    <x v="2"/>
    <x v="2"/>
    <x v="4"/>
    <x v="3"/>
    <m/>
    <m/>
    <m/>
    <m/>
  </r>
  <r>
    <m/>
    <x v="2"/>
    <x v="4"/>
    <x v="1"/>
    <m/>
    <m/>
    <m/>
    <x v="0"/>
    <m/>
    <x v="4"/>
    <m/>
    <m/>
    <m/>
    <m/>
    <m/>
    <m/>
    <m/>
    <m/>
    <m/>
    <m/>
    <m/>
    <m/>
    <x v="0"/>
    <x v="0"/>
    <x v="0"/>
    <m/>
    <m/>
    <x v="0"/>
    <m/>
    <m/>
    <m/>
    <m/>
    <m/>
    <m/>
    <x v="0"/>
    <x v="0"/>
    <x v="1"/>
    <x v="2"/>
    <x v="2"/>
    <x v="2"/>
    <x v="1"/>
    <x v="1"/>
    <x v="1"/>
    <x v="5"/>
    <x v="1"/>
    <x v="3"/>
    <x v="4"/>
    <x v="1"/>
    <x v="2"/>
    <x v="1"/>
    <x v="2"/>
    <x v="2"/>
    <x v="2"/>
    <x v="2"/>
    <x v="2"/>
    <x v="1"/>
    <m/>
    <m/>
    <m/>
    <m/>
  </r>
  <r>
    <m/>
    <x v="2"/>
    <x v="4"/>
    <x v="0"/>
    <m/>
    <m/>
    <m/>
    <x v="0"/>
    <m/>
    <x v="2"/>
    <m/>
    <m/>
    <m/>
    <m/>
    <m/>
    <m/>
    <m/>
    <m/>
    <m/>
    <m/>
    <m/>
    <m/>
    <x v="0"/>
    <x v="0"/>
    <x v="3"/>
    <m/>
    <m/>
    <x v="0"/>
    <m/>
    <m/>
    <m/>
    <m/>
    <m/>
    <m/>
    <x v="0"/>
    <x v="0"/>
    <x v="2"/>
    <x v="0"/>
    <x v="4"/>
    <x v="3"/>
    <x v="3"/>
    <x v="2"/>
    <x v="2"/>
    <x v="3"/>
    <x v="2"/>
    <x v="2"/>
    <x v="1"/>
    <x v="2"/>
    <x v="2"/>
    <x v="1"/>
    <x v="2"/>
    <x v="2"/>
    <x v="2"/>
    <x v="2"/>
    <x v="2"/>
    <x v="1"/>
    <m/>
    <m/>
    <m/>
    <m/>
  </r>
  <r>
    <m/>
    <x v="2"/>
    <x v="4"/>
    <x v="1"/>
    <m/>
    <m/>
    <m/>
    <x v="0"/>
    <m/>
    <x v="3"/>
    <m/>
    <m/>
    <m/>
    <m/>
    <m/>
    <m/>
    <m/>
    <m/>
    <m/>
    <m/>
    <m/>
    <m/>
    <x v="0"/>
    <x v="0"/>
    <x v="1"/>
    <m/>
    <m/>
    <x v="3"/>
    <m/>
    <m/>
    <m/>
    <m/>
    <m/>
    <m/>
    <x v="1"/>
    <x v="1"/>
    <x v="1"/>
    <x v="1"/>
    <x v="4"/>
    <x v="1"/>
    <x v="0"/>
    <x v="1"/>
    <x v="1"/>
    <x v="2"/>
    <x v="1"/>
    <x v="2"/>
    <x v="3"/>
    <x v="1"/>
    <x v="4"/>
    <x v="2"/>
    <x v="1"/>
    <x v="1"/>
    <x v="3"/>
    <x v="3"/>
    <x v="1"/>
    <x v="1"/>
    <m/>
    <m/>
    <m/>
    <m/>
  </r>
  <r>
    <m/>
    <x v="2"/>
    <x v="4"/>
    <x v="1"/>
    <m/>
    <m/>
    <m/>
    <x v="0"/>
    <m/>
    <x v="0"/>
    <m/>
    <m/>
    <m/>
    <m/>
    <m/>
    <m/>
    <m/>
    <m/>
    <m/>
    <m/>
    <m/>
    <m/>
    <x v="0"/>
    <x v="0"/>
    <x v="0"/>
    <m/>
    <m/>
    <x v="0"/>
    <m/>
    <m/>
    <m/>
    <m/>
    <m/>
    <m/>
    <x v="0"/>
    <x v="0"/>
    <x v="2"/>
    <x v="2"/>
    <x v="2"/>
    <x v="2"/>
    <x v="1"/>
    <x v="1"/>
    <x v="1"/>
    <x v="2"/>
    <x v="1"/>
    <x v="3"/>
    <x v="2"/>
    <x v="1"/>
    <x v="2"/>
    <x v="1"/>
    <x v="2"/>
    <x v="2"/>
    <x v="2"/>
    <x v="2"/>
    <x v="5"/>
    <x v="1"/>
    <m/>
    <m/>
    <m/>
    <m/>
  </r>
  <r>
    <m/>
    <x v="2"/>
    <x v="4"/>
    <x v="0"/>
    <m/>
    <m/>
    <m/>
    <x v="0"/>
    <m/>
    <x v="0"/>
    <m/>
    <m/>
    <m/>
    <m/>
    <m/>
    <m/>
    <m/>
    <m/>
    <m/>
    <m/>
    <m/>
    <m/>
    <x v="0"/>
    <x v="0"/>
    <x v="0"/>
    <m/>
    <m/>
    <x v="0"/>
    <m/>
    <m/>
    <m/>
    <m/>
    <m/>
    <m/>
    <x v="0"/>
    <x v="0"/>
    <x v="1"/>
    <x v="2"/>
    <x v="2"/>
    <x v="2"/>
    <x v="1"/>
    <x v="1"/>
    <x v="1"/>
    <x v="2"/>
    <x v="1"/>
    <x v="3"/>
    <x v="2"/>
    <x v="1"/>
    <x v="4"/>
    <x v="1"/>
    <x v="2"/>
    <x v="2"/>
    <x v="5"/>
    <x v="2"/>
    <x v="5"/>
    <x v="4"/>
    <m/>
    <m/>
    <m/>
    <m/>
  </r>
  <r>
    <m/>
    <x v="2"/>
    <x v="4"/>
    <x v="0"/>
    <m/>
    <m/>
    <m/>
    <x v="0"/>
    <m/>
    <x v="0"/>
    <m/>
    <m/>
    <m/>
    <m/>
    <m/>
    <m/>
    <m/>
    <m/>
    <m/>
    <m/>
    <m/>
    <m/>
    <x v="0"/>
    <x v="0"/>
    <x v="0"/>
    <m/>
    <m/>
    <x v="0"/>
    <m/>
    <m/>
    <m/>
    <m/>
    <m/>
    <m/>
    <x v="0"/>
    <x v="0"/>
    <x v="1"/>
    <x v="2"/>
    <x v="2"/>
    <x v="2"/>
    <x v="1"/>
    <x v="1"/>
    <x v="1"/>
    <x v="2"/>
    <x v="2"/>
    <x v="3"/>
    <x v="1"/>
    <x v="1"/>
    <x v="4"/>
    <x v="1"/>
    <x v="3"/>
    <x v="3"/>
    <x v="3"/>
    <x v="2"/>
    <x v="5"/>
    <x v="1"/>
    <m/>
    <m/>
    <m/>
    <m/>
  </r>
  <r>
    <m/>
    <x v="2"/>
    <x v="4"/>
    <x v="1"/>
    <m/>
    <m/>
    <m/>
    <x v="1"/>
    <m/>
    <x v="1"/>
    <m/>
    <m/>
    <m/>
    <m/>
    <m/>
    <m/>
    <m/>
    <m/>
    <m/>
    <m/>
    <m/>
    <m/>
    <x v="1"/>
    <x v="0"/>
    <x v="1"/>
    <m/>
    <m/>
    <x v="1"/>
    <m/>
    <m/>
    <m/>
    <m/>
    <m/>
    <m/>
    <x v="1"/>
    <x v="2"/>
    <x v="1"/>
    <x v="3"/>
    <x v="4"/>
    <x v="3"/>
    <x v="3"/>
    <x v="3"/>
    <x v="2"/>
    <x v="3"/>
    <x v="2"/>
    <x v="2"/>
    <x v="1"/>
    <x v="3"/>
    <x v="3"/>
    <x v="2"/>
    <x v="3"/>
    <x v="3"/>
    <x v="5"/>
    <x v="4"/>
    <x v="5"/>
    <x v="3"/>
    <m/>
    <m/>
    <m/>
    <m/>
  </r>
  <r>
    <m/>
    <x v="2"/>
    <x v="4"/>
    <x v="0"/>
    <m/>
    <m/>
    <m/>
    <x v="0"/>
    <m/>
    <x v="1"/>
    <m/>
    <m/>
    <m/>
    <m/>
    <m/>
    <m/>
    <m/>
    <m/>
    <m/>
    <m/>
    <m/>
    <m/>
    <x v="0"/>
    <x v="0"/>
    <x v="0"/>
    <m/>
    <m/>
    <x v="5"/>
    <m/>
    <m/>
    <m/>
    <m/>
    <m/>
    <m/>
    <x v="0"/>
    <x v="0"/>
    <x v="5"/>
    <x v="2"/>
    <x v="4"/>
    <x v="1"/>
    <x v="1"/>
    <x v="2"/>
    <x v="1"/>
    <x v="2"/>
    <x v="1"/>
    <x v="3"/>
    <x v="5"/>
    <x v="3"/>
    <x v="3"/>
    <x v="4"/>
    <x v="2"/>
    <x v="2"/>
    <x v="3"/>
    <x v="2"/>
    <x v="3"/>
    <x v="1"/>
    <m/>
    <m/>
    <m/>
    <m/>
  </r>
  <r>
    <m/>
    <x v="2"/>
    <x v="4"/>
    <x v="0"/>
    <m/>
    <m/>
    <m/>
    <x v="0"/>
    <m/>
    <x v="1"/>
    <m/>
    <m/>
    <m/>
    <m/>
    <m/>
    <m/>
    <m/>
    <m/>
    <m/>
    <m/>
    <m/>
    <m/>
    <x v="0"/>
    <x v="0"/>
    <x v="0"/>
    <m/>
    <m/>
    <x v="0"/>
    <m/>
    <m/>
    <m/>
    <m/>
    <m/>
    <m/>
    <x v="0"/>
    <x v="2"/>
    <x v="2"/>
    <x v="3"/>
    <x v="2"/>
    <x v="2"/>
    <x v="1"/>
    <x v="1"/>
    <x v="1"/>
    <x v="2"/>
    <x v="1"/>
    <x v="2"/>
    <x v="5"/>
    <x v="1"/>
    <x v="2"/>
    <x v="1"/>
    <x v="2"/>
    <x v="2"/>
    <x v="2"/>
    <x v="2"/>
    <x v="3"/>
    <x v="1"/>
    <m/>
    <m/>
    <m/>
    <m/>
  </r>
  <r>
    <m/>
    <x v="2"/>
    <x v="4"/>
    <x v="1"/>
    <m/>
    <m/>
    <m/>
    <x v="0"/>
    <m/>
    <x v="2"/>
    <m/>
    <m/>
    <m/>
    <m/>
    <m/>
    <m/>
    <m/>
    <m/>
    <m/>
    <m/>
    <m/>
    <m/>
    <x v="5"/>
    <x v="0"/>
    <x v="0"/>
    <m/>
    <m/>
    <x v="0"/>
    <m/>
    <m/>
    <m/>
    <m/>
    <m/>
    <m/>
    <x v="0"/>
    <x v="0"/>
    <x v="1"/>
    <x v="3"/>
    <x v="4"/>
    <x v="3"/>
    <x v="3"/>
    <x v="2"/>
    <x v="5"/>
    <x v="3"/>
    <x v="1"/>
    <x v="3"/>
    <x v="1"/>
    <x v="5"/>
    <x v="2"/>
    <x v="4"/>
    <x v="2"/>
    <x v="3"/>
    <x v="2"/>
    <x v="3"/>
    <x v="2"/>
    <x v="4"/>
    <m/>
    <m/>
    <m/>
    <m/>
  </r>
  <r>
    <m/>
    <x v="2"/>
    <x v="4"/>
    <x v="1"/>
    <m/>
    <m/>
    <m/>
    <x v="3"/>
    <m/>
    <x v="0"/>
    <m/>
    <m/>
    <m/>
    <m/>
    <m/>
    <m/>
    <m/>
    <m/>
    <m/>
    <m/>
    <m/>
    <m/>
    <x v="0"/>
    <x v="0"/>
    <x v="0"/>
    <m/>
    <m/>
    <x v="1"/>
    <m/>
    <m/>
    <m/>
    <m/>
    <m/>
    <m/>
    <x v="0"/>
    <x v="1"/>
    <x v="5"/>
    <x v="2"/>
    <x v="2"/>
    <x v="1"/>
    <x v="1"/>
    <x v="1"/>
    <x v="3"/>
    <x v="2"/>
    <x v="1"/>
    <x v="5"/>
    <x v="2"/>
    <x v="1"/>
    <x v="2"/>
    <x v="3"/>
    <x v="2"/>
    <x v="2"/>
    <x v="2"/>
    <x v="2"/>
    <x v="5"/>
    <x v="1"/>
    <m/>
    <m/>
    <m/>
    <m/>
  </r>
  <r>
    <m/>
    <x v="2"/>
    <x v="4"/>
    <x v="1"/>
    <m/>
    <m/>
    <m/>
    <x v="0"/>
    <m/>
    <x v="0"/>
    <m/>
    <m/>
    <m/>
    <m/>
    <m/>
    <m/>
    <m/>
    <m/>
    <m/>
    <m/>
    <m/>
    <m/>
    <x v="0"/>
    <x v="0"/>
    <x v="0"/>
    <m/>
    <m/>
    <x v="0"/>
    <m/>
    <m/>
    <m/>
    <m/>
    <m/>
    <m/>
    <x v="0"/>
    <x v="0"/>
    <x v="1"/>
    <x v="2"/>
    <x v="2"/>
    <x v="2"/>
    <x v="1"/>
    <x v="1"/>
    <x v="1"/>
    <x v="2"/>
    <x v="1"/>
    <x v="3"/>
    <x v="2"/>
    <x v="1"/>
    <x v="2"/>
    <x v="1"/>
    <x v="2"/>
    <x v="2"/>
    <x v="0"/>
    <x v="2"/>
    <x v="0"/>
    <x v="1"/>
    <m/>
    <m/>
    <m/>
    <m/>
  </r>
  <r>
    <m/>
    <x v="2"/>
    <x v="4"/>
    <x v="2"/>
    <m/>
    <m/>
    <m/>
    <x v="0"/>
    <m/>
    <x v="0"/>
    <m/>
    <m/>
    <m/>
    <m/>
    <m/>
    <m/>
    <m/>
    <m/>
    <m/>
    <m/>
    <m/>
    <m/>
    <x v="5"/>
    <x v="2"/>
    <x v="3"/>
    <m/>
    <m/>
    <x v="0"/>
    <m/>
    <m/>
    <m/>
    <m/>
    <m/>
    <m/>
    <x v="1"/>
    <x v="2"/>
    <x v="1"/>
    <x v="2"/>
    <x v="2"/>
    <x v="2"/>
    <x v="1"/>
    <x v="1"/>
    <x v="1"/>
    <x v="2"/>
    <x v="1"/>
    <x v="3"/>
    <x v="2"/>
    <x v="1"/>
    <x v="3"/>
    <x v="1"/>
    <x v="2"/>
    <x v="2"/>
    <x v="2"/>
    <x v="2"/>
    <x v="5"/>
    <x v="1"/>
    <m/>
    <m/>
    <m/>
    <m/>
  </r>
  <r>
    <m/>
    <x v="2"/>
    <x v="4"/>
    <x v="1"/>
    <m/>
    <m/>
    <m/>
    <x v="0"/>
    <m/>
    <x v="2"/>
    <m/>
    <m/>
    <m/>
    <m/>
    <m/>
    <m/>
    <m/>
    <m/>
    <m/>
    <m/>
    <m/>
    <m/>
    <x v="0"/>
    <x v="2"/>
    <x v="2"/>
    <m/>
    <m/>
    <x v="0"/>
    <m/>
    <m/>
    <m/>
    <m/>
    <m/>
    <m/>
    <x v="0"/>
    <x v="0"/>
    <x v="1"/>
    <x v="1"/>
    <x v="2"/>
    <x v="2"/>
    <x v="1"/>
    <x v="1"/>
    <x v="1"/>
    <x v="2"/>
    <x v="1"/>
    <x v="3"/>
    <x v="2"/>
    <x v="1"/>
    <x v="4"/>
    <x v="1"/>
    <x v="4"/>
    <x v="2"/>
    <x v="2"/>
    <x v="2"/>
    <x v="2"/>
    <x v="1"/>
    <m/>
    <m/>
    <m/>
    <m/>
  </r>
  <r>
    <m/>
    <x v="2"/>
    <x v="3"/>
    <x v="0"/>
    <m/>
    <m/>
    <m/>
    <x v="0"/>
    <m/>
    <x v="0"/>
    <m/>
    <m/>
    <m/>
    <m/>
    <m/>
    <m/>
    <m/>
    <m/>
    <m/>
    <m/>
    <m/>
    <m/>
    <x v="1"/>
    <x v="3"/>
    <x v="0"/>
    <m/>
    <m/>
    <x v="0"/>
    <m/>
    <m/>
    <m/>
    <m/>
    <m/>
    <m/>
    <x v="0"/>
    <x v="0"/>
    <x v="2"/>
    <x v="2"/>
    <x v="4"/>
    <x v="2"/>
    <x v="1"/>
    <x v="1"/>
    <x v="1"/>
    <x v="0"/>
    <x v="4"/>
    <x v="3"/>
    <x v="3"/>
    <x v="1"/>
    <x v="3"/>
    <x v="1"/>
    <x v="4"/>
    <x v="2"/>
    <x v="1"/>
    <x v="2"/>
    <x v="2"/>
    <x v="1"/>
    <m/>
    <m/>
    <m/>
    <m/>
  </r>
  <r>
    <m/>
    <x v="2"/>
    <x v="3"/>
    <x v="0"/>
    <m/>
    <m/>
    <m/>
    <x v="1"/>
    <m/>
    <x v="1"/>
    <m/>
    <m/>
    <m/>
    <m/>
    <m/>
    <m/>
    <m/>
    <m/>
    <m/>
    <m/>
    <m/>
    <m/>
    <x v="2"/>
    <x v="0"/>
    <x v="3"/>
    <m/>
    <m/>
    <x v="0"/>
    <m/>
    <m/>
    <m/>
    <m/>
    <m/>
    <m/>
    <x v="2"/>
    <x v="4"/>
    <x v="2"/>
    <x v="0"/>
    <x v="2"/>
    <x v="3"/>
    <x v="0"/>
    <x v="2"/>
    <x v="2"/>
    <x v="2"/>
    <x v="5"/>
    <x v="5"/>
    <x v="5"/>
    <x v="2"/>
    <x v="4"/>
    <x v="2"/>
    <x v="0"/>
    <x v="5"/>
    <x v="2"/>
    <x v="2"/>
    <x v="3"/>
    <x v="3"/>
    <m/>
    <m/>
    <m/>
    <m/>
  </r>
  <r>
    <m/>
    <x v="2"/>
    <x v="3"/>
    <x v="0"/>
    <m/>
    <m/>
    <m/>
    <x v="0"/>
    <m/>
    <x v="2"/>
    <m/>
    <m/>
    <m/>
    <m/>
    <m/>
    <m/>
    <m/>
    <m/>
    <m/>
    <m/>
    <m/>
    <m/>
    <x v="0"/>
    <x v="0"/>
    <x v="0"/>
    <m/>
    <m/>
    <x v="1"/>
    <m/>
    <m/>
    <m/>
    <m/>
    <m/>
    <m/>
    <x v="0"/>
    <x v="2"/>
    <x v="1"/>
    <x v="3"/>
    <x v="4"/>
    <x v="3"/>
    <x v="3"/>
    <x v="1"/>
    <x v="1"/>
    <x v="3"/>
    <x v="1"/>
    <x v="2"/>
    <x v="1"/>
    <x v="2"/>
    <x v="3"/>
    <x v="2"/>
    <x v="4"/>
    <x v="3"/>
    <x v="3"/>
    <x v="2"/>
    <x v="4"/>
    <x v="3"/>
    <m/>
    <m/>
    <m/>
    <m/>
  </r>
  <r>
    <m/>
    <x v="2"/>
    <x v="3"/>
    <x v="0"/>
    <m/>
    <m/>
    <m/>
    <x v="0"/>
    <m/>
    <x v="3"/>
    <m/>
    <m/>
    <m/>
    <m/>
    <m/>
    <m/>
    <m/>
    <m/>
    <m/>
    <m/>
    <m/>
    <m/>
    <x v="0"/>
    <x v="0"/>
    <x v="1"/>
    <m/>
    <m/>
    <x v="1"/>
    <m/>
    <m/>
    <m/>
    <m/>
    <m/>
    <m/>
    <x v="1"/>
    <x v="3"/>
    <x v="2"/>
    <x v="3"/>
    <x v="2"/>
    <x v="3"/>
    <x v="4"/>
    <x v="2"/>
    <x v="2"/>
    <x v="3"/>
    <x v="5"/>
    <x v="4"/>
    <x v="3"/>
    <x v="2"/>
    <x v="4"/>
    <x v="3"/>
    <x v="1"/>
    <x v="1"/>
    <x v="3"/>
    <x v="4"/>
    <x v="3"/>
    <x v="3"/>
    <m/>
    <m/>
    <m/>
    <m/>
  </r>
  <r>
    <m/>
    <x v="2"/>
    <x v="3"/>
    <x v="0"/>
    <m/>
    <m/>
    <m/>
    <x v="0"/>
    <m/>
    <x v="0"/>
    <m/>
    <m/>
    <m/>
    <m/>
    <m/>
    <m/>
    <m/>
    <m/>
    <m/>
    <m/>
    <m/>
    <m/>
    <x v="0"/>
    <x v="0"/>
    <x v="0"/>
    <m/>
    <m/>
    <x v="0"/>
    <m/>
    <m/>
    <m/>
    <m/>
    <m/>
    <m/>
    <x v="0"/>
    <x v="0"/>
    <x v="2"/>
    <x v="2"/>
    <x v="3"/>
    <x v="2"/>
    <x v="1"/>
    <x v="2"/>
    <x v="2"/>
    <x v="0"/>
    <x v="1"/>
    <x v="1"/>
    <x v="2"/>
    <x v="1"/>
    <x v="3"/>
    <x v="1"/>
    <x v="2"/>
    <x v="3"/>
    <x v="2"/>
    <x v="2"/>
    <x v="3"/>
    <x v="1"/>
    <m/>
    <m/>
    <m/>
    <m/>
  </r>
  <r>
    <m/>
    <x v="2"/>
    <x v="4"/>
    <x v="0"/>
    <m/>
    <m/>
    <m/>
    <x v="0"/>
    <m/>
    <x v="0"/>
    <m/>
    <m/>
    <m/>
    <m/>
    <m/>
    <m/>
    <m/>
    <m/>
    <m/>
    <m/>
    <m/>
    <m/>
    <x v="0"/>
    <x v="0"/>
    <x v="1"/>
    <m/>
    <m/>
    <x v="0"/>
    <m/>
    <m/>
    <m/>
    <m/>
    <m/>
    <m/>
    <x v="0"/>
    <x v="0"/>
    <x v="5"/>
    <x v="2"/>
    <x v="1"/>
    <x v="1"/>
    <x v="3"/>
    <x v="3"/>
    <x v="5"/>
    <x v="2"/>
    <x v="1"/>
    <x v="2"/>
    <x v="2"/>
    <x v="3"/>
    <x v="5"/>
    <x v="3"/>
    <x v="2"/>
    <x v="2"/>
    <x v="2"/>
    <x v="2"/>
    <x v="2"/>
    <x v="2"/>
    <m/>
    <m/>
    <m/>
    <m/>
  </r>
  <r>
    <m/>
    <x v="2"/>
    <x v="3"/>
    <x v="1"/>
    <m/>
    <m/>
    <m/>
    <x v="1"/>
    <m/>
    <x v="0"/>
    <m/>
    <m/>
    <m/>
    <m/>
    <m/>
    <m/>
    <m/>
    <m/>
    <m/>
    <m/>
    <m/>
    <m/>
    <x v="0"/>
    <x v="0"/>
    <x v="0"/>
    <m/>
    <m/>
    <x v="0"/>
    <m/>
    <m/>
    <m/>
    <m/>
    <m/>
    <m/>
    <x v="3"/>
    <x v="3"/>
    <x v="3"/>
    <x v="1"/>
    <x v="1"/>
    <x v="1"/>
    <x v="1"/>
    <x v="1"/>
    <x v="1"/>
    <x v="2"/>
    <x v="1"/>
    <x v="4"/>
    <x v="2"/>
    <x v="1"/>
    <x v="2"/>
    <x v="1"/>
    <x v="3"/>
    <x v="2"/>
    <x v="2"/>
    <x v="2"/>
    <x v="2"/>
    <x v="2"/>
    <m/>
    <m/>
    <m/>
    <m/>
  </r>
  <r>
    <m/>
    <x v="2"/>
    <x v="3"/>
    <x v="0"/>
    <m/>
    <m/>
    <m/>
    <x v="0"/>
    <m/>
    <x v="0"/>
    <m/>
    <m/>
    <m/>
    <m/>
    <m/>
    <m/>
    <m/>
    <m/>
    <m/>
    <m/>
    <m/>
    <m/>
    <x v="0"/>
    <x v="0"/>
    <x v="3"/>
    <m/>
    <m/>
    <x v="0"/>
    <m/>
    <m/>
    <m/>
    <m/>
    <m/>
    <m/>
    <x v="4"/>
    <x v="1"/>
    <x v="1"/>
    <x v="2"/>
    <x v="2"/>
    <x v="2"/>
    <x v="1"/>
    <x v="2"/>
    <x v="2"/>
    <x v="2"/>
    <x v="3"/>
    <x v="2"/>
    <x v="1"/>
    <x v="5"/>
    <x v="4"/>
    <x v="1"/>
    <x v="4"/>
    <x v="4"/>
    <x v="3"/>
    <x v="2"/>
    <x v="5"/>
    <x v="1"/>
    <m/>
    <m/>
    <m/>
    <m/>
  </r>
  <r>
    <m/>
    <x v="2"/>
    <x v="3"/>
    <x v="0"/>
    <m/>
    <m/>
    <m/>
    <x v="2"/>
    <m/>
    <x v="3"/>
    <m/>
    <m/>
    <m/>
    <m/>
    <m/>
    <m/>
    <m/>
    <m/>
    <m/>
    <m/>
    <m/>
    <m/>
    <x v="0"/>
    <x v="0"/>
    <x v="0"/>
    <m/>
    <m/>
    <x v="2"/>
    <m/>
    <m/>
    <m/>
    <m/>
    <m/>
    <m/>
    <x v="5"/>
    <x v="5"/>
    <x v="1"/>
    <x v="1"/>
    <x v="4"/>
    <x v="3"/>
    <x v="1"/>
    <x v="1"/>
    <x v="2"/>
    <x v="1"/>
    <x v="3"/>
    <x v="5"/>
    <x v="4"/>
    <x v="5"/>
    <x v="1"/>
    <x v="0"/>
    <x v="0"/>
    <x v="0"/>
    <x v="0"/>
    <x v="0"/>
    <x v="0"/>
    <x v="0"/>
    <m/>
    <m/>
    <m/>
    <m/>
  </r>
  <r>
    <m/>
    <x v="2"/>
    <x v="3"/>
    <x v="0"/>
    <m/>
    <m/>
    <m/>
    <x v="2"/>
    <m/>
    <x v="2"/>
    <m/>
    <m/>
    <m/>
    <m/>
    <m/>
    <m/>
    <m/>
    <m/>
    <m/>
    <m/>
    <m/>
    <m/>
    <x v="0"/>
    <x v="0"/>
    <x v="3"/>
    <m/>
    <m/>
    <x v="0"/>
    <m/>
    <m/>
    <m/>
    <m/>
    <m/>
    <m/>
    <x v="2"/>
    <x v="2"/>
    <x v="2"/>
    <x v="3"/>
    <x v="4"/>
    <x v="4"/>
    <x v="1"/>
    <x v="2"/>
    <x v="2"/>
    <x v="3"/>
    <x v="5"/>
    <x v="2"/>
    <x v="1"/>
    <x v="4"/>
    <x v="3"/>
    <x v="1"/>
    <x v="4"/>
    <x v="2"/>
    <x v="2"/>
    <x v="4"/>
    <x v="3"/>
    <x v="3"/>
    <m/>
    <m/>
    <m/>
    <m/>
  </r>
  <r>
    <m/>
    <x v="2"/>
    <x v="3"/>
    <x v="0"/>
    <m/>
    <m/>
    <m/>
    <x v="0"/>
    <m/>
    <x v="3"/>
    <m/>
    <m/>
    <m/>
    <m/>
    <m/>
    <m/>
    <m/>
    <m/>
    <m/>
    <m/>
    <m/>
    <m/>
    <x v="3"/>
    <x v="1"/>
    <x v="1"/>
    <m/>
    <m/>
    <x v="0"/>
    <m/>
    <m/>
    <m/>
    <m/>
    <m/>
    <m/>
    <x v="0"/>
    <x v="2"/>
    <x v="2"/>
    <x v="1"/>
    <x v="1"/>
    <x v="3"/>
    <x v="3"/>
    <x v="1"/>
    <x v="2"/>
    <x v="2"/>
    <x v="2"/>
    <x v="1"/>
    <x v="1"/>
    <x v="2"/>
    <x v="3"/>
    <x v="1"/>
    <x v="1"/>
    <x v="2"/>
    <x v="2"/>
    <x v="2"/>
    <x v="3"/>
    <x v="3"/>
    <m/>
    <m/>
    <m/>
    <m/>
  </r>
  <r>
    <m/>
    <x v="2"/>
    <x v="2"/>
    <x v="1"/>
    <m/>
    <m/>
    <m/>
    <x v="0"/>
    <m/>
    <x v="2"/>
    <m/>
    <m/>
    <m/>
    <m/>
    <m/>
    <m/>
    <m/>
    <m/>
    <m/>
    <m/>
    <m/>
    <m/>
    <x v="0"/>
    <x v="0"/>
    <x v="0"/>
    <m/>
    <m/>
    <x v="0"/>
    <m/>
    <m/>
    <m/>
    <m/>
    <m/>
    <m/>
    <x v="0"/>
    <x v="3"/>
    <x v="1"/>
    <x v="2"/>
    <x v="2"/>
    <x v="3"/>
    <x v="1"/>
    <x v="1"/>
    <x v="1"/>
    <x v="2"/>
    <x v="1"/>
    <x v="2"/>
    <x v="2"/>
    <x v="1"/>
    <x v="1"/>
    <x v="1"/>
    <x v="4"/>
    <x v="2"/>
    <x v="0"/>
    <x v="3"/>
    <x v="2"/>
    <x v="2"/>
    <m/>
    <m/>
    <m/>
    <m/>
  </r>
  <r>
    <m/>
    <x v="2"/>
    <x v="2"/>
    <x v="1"/>
    <m/>
    <m/>
    <m/>
    <x v="0"/>
    <m/>
    <x v="4"/>
    <m/>
    <m/>
    <m/>
    <m/>
    <m/>
    <m/>
    <m/>
    <m/>
    <m/>
    <m/>
    <m/>
    <m/>
    <x v="0"/>
    <x v="0"/>
    <x v="0"/>
    <m/>
    <m/>
    <x v="0"/>
    <m/>
    <m/>
    <m/>
    <m/>
    <m/>
    <m/>
    <x v="0"/>
    <x v="2"/>
    <x v="2"/>
    <x v="5"/>
    <x v="1"/>
    <x v="3"/>
    <x v="5"/>
    <x v="1"/>
    <x v="1"/>
    <x v="2"/>
    <x v="1"/>
    <x v="2"/>
    <x v="2"/>
    <x v="1"/>
    <x v="2"/>
    <x v="1"/>
    <x v="1"/>
    <x v="2"/>
    <x v="4"/>
    <x v="4"/>
    <x v="3"/>
    <x v="1"/>
    <m/>
    <m/>
    <m/>
    <m/>
  </r>
  <r>
    <m/>
    <x v="2"/>
    <x v="2"/>
    <x v="1"/>
    <m/>
    <m/>
    <m/>
    <x v="0"/>
    <m/>
    <x v="0"/>
    <m/>
    <m/>
    <m/>
    <m/>
    <m/>
    <m/>
    <m/>
    <m/>
    <m/>
    <m/>
    <m/>
    <m/>
    <x v="0"/>
    <x v="0"/>
    <x v="0"/>
    <m/>
    <m/>
    <x v="0"/>
    <m/>
    <m/>
    <m/>
    <m/>
    <m/>
    <m/>
    <x v="0"/>
    <x v="0"/>
    <x v="1"/>
    <x v="2"/>
    <x v="2"/>
    <x v="2"/>
    <x v="1"/>
    <x v="1"/>
    <x v="1"/>
    <x v="2"/>
    <x v="1"/>
    <x v="3"/>
    <x v="2"/>
    <x v="1"/>
    <x v="1"/>
    <x v="1"/>
    <x v="2"/>
    <x v="2"/>
    <x v="2"/>
    <x v="2"/>
    <x v="2"/>
    <x v="3"/>
    <m/>
    <m/>
    <m/>
    <m/>
  </r>
  <r>
    <m/>
    <x v="2"/>
    <x v="2"/>
    <x v="1"/>
    <m/>
    <m/>
    <m/>
    <x v="0"/>
    <m/>
    <x v="4"/>
    <m/>
    <m/>
    <m/>
    <m/>
    <m/>
    <m/>
    <m/>
    <m/>
    <m/>
    <m/>
    <m/>
    <m/>
    <x v="0"/>
    <x v="0"/>
    <x v="1"/>
    <m/>
    <m/>
    <x v="0"/>
    <m/>
    <m/>
    <m/>
    <m/>
    <m/>
    <m/>
    <x v="1"/>
    <x v="2"/>
    <x v="2"/>
    <x v="2"/>
    <x v="4"/>
    <x v="3"/>
    <x v="3"/>
    <x v="2"/>
    <x v="1"/>
    <x v="2"/>
    <x v="2"/>
    <x v="4"/>
    <x v="3"/>
    <x v="3"/>
    <x v="1"/>
    <x v="2"/>
    <x v="1"/>
    <x v="3"/>
    <x v="1"/>
    <x v="4"/>
    <x v="3"/>
    <x v="2"/>
    <m/>
    <m/>
    <m/>
    <m/>
  </r>
  <r>
    <m/>
    <x v="2"/>
    <x v="2"/>
    <x v="1"/>
    <m/>
    <m/>
    <m/>
    <x v="0"/>
    <m/>
    <x v="0"/>
    <m/>
    <m/>
    <m/>
    <m/>
    <m/>
    <m/>
    <m/>
    <m/>
    <m/>
    <m/>
    <m/>
    <m/>
    <x v="0"/>
    <x v="0"/>
    <x v="0"/>
    <m/>
    <m/>
    <x v="0"/>
    <m/>
    <m/>
    <m/>
    <m/>
    <m/>
    <m/>
    <x v="4"/>
    <x v="4"/>
    <x v="1"/>
    <x v="2"/>
    <x v="2"/>
    <x v="2"/>
    <x v="1"/>
    <x v="1"/>
    <x v="1"/>
    <x v="2"/>
    <x v="5"/>
    <x v="2"/>
    <x v="2"/>
    <x v="1"/>
    <x v="4"/>
    <x v="1"/>
    <x v="3"/>
    <x v="2"/>
    <x v="2"/>
    <x v="2"/>
    <x v="5"/>
    <x v="1"/>
    <m/>
    <m/>
    <m/>
    <m/>
  </r>
  <r>
    <m/>
    <x v="2"/>
    <x v="2"/>
    <x v="1"/>
    <m/>
    <m/>
    <m/>
    <x v="1"/>
    <m/>
    <x v="2"/>
    <m/>
    <m/>
    <m/>
    <m/>
    <m/>
    <m/>
    <m/>
    <m/>
    <m/>
    <m/>
    <m/>
    <m/>
    <x v="0"/>
    <x v="0"/>
    <x v="2"/>
    <m/>
    <m/>
    <x v="1"/>
    <m/>
    <m/>
    <m/>
    <m/>
    <m/>
    <m/>
    <x v="1"/>
    <x v="2"/>
    <x v="2"/>
    <x v="3"/>
    <x v="4"/>
    <x v="3"/>
    <x v="3"/>
    <x v="2"/>
    <x v="2"/>
    <x v="4"/>
    <x v="2"/>
    <x v="2"/>
    <x v="1"/>
    <x v="1"/>
    <x v="3"/>
    <x v="2"/>
    <x v="4"/>
    <x v="3"/>
    <x v="3"/>
    <x v="1"/>
    <x v="3"/>
    <x v="3"/>
    <m/>
    <m/>
    <m/>
    <m/>
  </r>
  <r>
    <m/>
    <x v="2"/>
    <x v="2"/>
    <x v="1"/>
    <m/>
    <m/>
    <m/>
    <x v="0"/>
    <m/>
    <x v="0"/>
    <m/>
    <m/>
    <m/>
    <m/>
    <m/>
    <m/>
    <m/>
    <m/>
    <m/>
    <m/>
    <m/>
    <m/>
    <x v="0"/>
    <x v="5"/>
    <x v="0"/>
    <m/>
    <m/>
    <x v="0"/>
    <m/>
    <m/>
    <m/>
    <m/>
    <m/>
    <m/>
    <x v="0"/>
    <x v="0"/>
    <x v="1"/>
    <x v="2"/>
    <x v="4"/>
    <x v="2"/>
    <x v="3"/>
    <x v="1"/>
    <x v="1"/>
    <x v="2"/>
    <x v="1"/>
    <x v="2"/>
    <x v="2"/>
    <x v="1"/>
    <x v="1"/>
    <x v="1"/>
    <x v="2"/>
    <x v="2"/>
    <x v="2"/>
    <x v="2"/>
    <x v="3"/>
    <x v="1"/>
    <m/>
    <m/>
    <m/>
    <m/>
  </r>
  <r>
    <m/>
    <x v="2"/>
    <x v="2"/>
    <x v="1"/>
    <m/>
    <m/>
    <m/>
    <x v="0"/>
    <m/>
    <x v="0"/>
    <m/>
    <m/>
    <m/>
    <m/>
    <m/>
    <m/>
    <m/>
    <m/>
    <m/>
    <m/>
    <m/>
    <m/>
    <x v="0"/>
    <x v="3"/>
    <x v="0"/>
    <m/>
    <m/>
    <x v="0"/>
    <m/>
    <m/>
    <m/>
    <m/>
    <m/>
    <m/>
    <x v="0"/>
    <x v="0"/>
    <x v="1"/>
    <x v="2"/>
    <x v="2"/>
    <x v="2"/>
    <x v="1"/>
    <x v="1"/>
    <x v="1"/>
    <x v="2"/>
    <x v="2"/>
    <x v="2"/>
    <x v="1"/>
    <x v="1"/>
    <x v="1"/>
    <x v="1"/>
    <x v="4"/>
    <x v="3"/>
    <x v="2"/>
    <x v="2"/>
    <x v="3"/>
    <x v="1"/>
    <m/>
    <m/>
    <m/>
    <m/>
  </r>
  <r>
    <m/>
    <x v="2"/>
    <x v="2"/>
    <x v="1"/>
    <m/>
    <m/>
    <m/>
    <x v="1"/>
    <m/>
    <x v="2"/>
    <m/>
    <m/>
    <m/>
    <m/>
    <m/>
    <m/>
    <m/>
    <m/>
    <m/>
    <m/>
    <m/>
    <m/>
    <x v="0"/>
    <x v="0"/>
    <x v="0"/>
    <m/>
    <m/>
    <x v="0"/>
    <m/>
    <m/>
    <m/>
    <m/>
    <m/>
    <m/>
    <x v="0"/>
    <x v="0"/>
    <x v="2"/>
    <x v="2"/>
    <x v="1"/>
    <x v="2"/>
    <x v="1"/>
    <x v="2"/>
    <x v="1"/>
    <x v="2"/>
    <x v="1"/>
    <x v="3"/>
    <x v="3"/>
    <x v="1"/>
    <x v="2"/>
    <x v="1"/>
    <x v="4"/>
    <x v="2"/>
    <x v="3"/>
    <x v="4"/>
    <x v="3"/>
    <x v="2"/>
    <m/>
    <m/>
    <m/>
    <m/>
  </r>
  <r>
    <m/>
    <x v="2"/>
    <x v="2"/>
    <x v="1"/>
    <m/>
    <m/>
    <m/>
    <x v="1"/>
    <m/>
    <x v="2"/>
    <m/>
    <m/>
    <m/>
    <m/>
    <m/>
    <m/>
    <m/>
    <m/>
    <m/>
    <m/>
    <m/>
    <m/>
    <x v="0"/>
    <x v="0"/>
    <x v="0"/>
    <m/>
    <m/>
    <x v="1"/>
    <m/>
    <m/>
    <m/>
    <m/>
    <m/>
    <m/>
    <x v="0"/>
    <x v="2"/>
    <x v="2"/>
    <x v="3"/>
    <x v="4"/>
    <x v="3"/>
    <x v="3"/>
    <x v="2"/>
    <x v="2"/>
    <x v="3"/>
    <x v="2"/>
    <x v="4"/>
    <x v="1"/>
    <x v="2"/>
    <x v="1"/>
    <x v="1"/>
    <x v="5"/>
    <x v="3"/>
    <x v="1"/>
    <x v="2"/>
    <x v="3"/>
    <x v="3"/>
    <m/>
    <m/>
    <m/>
    <m/>
  </r>
  <r>
    <m/>
    <x v="3"/>
    <x v="1"/>
    <x v="1"/>
    <m/>
    <m/>
    <m/>
    <x v="0"/>
    <m/>
    <x v="0"/>
    <m/>
    <m/>
    <m/>
    <m/>
    <m/>
    <m/>
    <m/>
    <m/>
    <m/>
    <m/>
    <m/>
    <m/>
    <x v="0"/>
    <x v="0"/>
    <x v="0"/>
    <m/>
    <m/>
    <x v="0"/>
    <m/>
    <m/>
    <m/>
    <m/>
    <m/>
    <m/>
    <x v="0"/>
    <x v="0"/>
    <x v="1"/>
    <x v="2"/>
    <x v="2"/>
    <x v="2"/>
    <x v="3"/>
    <x v="2"/>
    <x v="2"/>
    <x v="3"/>
    <x v="1"/>
    <x v="1"/>
    <x v="2"/>
    <x v="1"/>
    <x v="2"/>
    <x v="1"/>
    <x v="2"/>
    <x v="2"/>
    <x v="2"/>
    <x v="2"/>
    <x v="3"/>
    <x v="1"/>
    <m/>
    <m/>
    <m/>
    <m/>
  </r>
  <r>
    <m/>
    <x v="3"/>
    <x v="1"/>
    <x v="1"/>
    <m/>
    <m/>
    <m/>
    <x v="0"/>
    <m/>
    <x v="0"/>
    <m/>
    <m/>
    <m/>
    <m/>
    <m/>
    <m/>
    <m/>
    <m/>
    <m/>
    <m/>
    <m/>
    <m/>
    <x v="0"/>
    <x v="0"/>
    <x v="0"/>
    <m/>
    <m/>
    <x v="0"/>
    <m/>
    <m/>
    <m/>
    <m/>
    <m/>
    <m/>
    <x v="1"/>
    <x v="0"/>
    <x v="1"/>
    <x v="2"/>
    <x v="4"/>
    <x v="2"/>
    <x v="3"/>
    <x v="1"/>
    <x v="1"/>
    <x v="2"/>
    <x v="2"/>
    <x v="3"/>
    <x v="2"/>
    <x v="1"/>
    <x v="1"/>
    <x v="1"/>
    <x v="3"/>
    <x v="5"/>
    <x v="3"/>
    <x v="5"/>
    <x v="3"/>
    <x v="3"/>
    <m/>
    <m/>
    <m/>
    <m/>
  </r>
  <r>
    <m/>
    <x v="3"/>
    <x v="1"/>
    <x v="1"/>
    <m/>
    <m/>
    <m/>
    <x v="0"/>
    <m/>
    <x v="0"/>
    <m/>
    <m/>
    <m/>
    <m/>
    <m/>
    <m/>
    <m/>
    <m/>
    <m/>
    <m/>
    <m/>
    <m/>
    <x v="0"/>
    <x v="0"/>
    <x v="0"/>
    <m/>
    <m/>
    <x v="0"/>
    <m/>
    <m/>
    <m/>
    <m/>
    <m/>
    <m/>
    <x v="1"/>
    <x v="2"/>
    <x v="1"/>
    <x v="2"/>
    <x v="2"/>
    <x v="2"/>
    <x v="1"/>
    <x v="1"/>
    <x v="1"/>
    <x v="2"/>
    <x v="1"/>
    <x v="3"/>
    <x v="2"/>
    <x v="1"/>
    <x v="2"/>
    <x v="1"/>
    <x v="3"/>
    <x v="4"/>
    <x v="3"/>
    <x v="4"/>
    <x v="3"/>
    <x v="3"/>
    <m/>
    <m/>
    <m/>
    <m/>
  </r>
  <r>
    <m/>
    <x v="3"/>
    <x v="1"/>
    <x v="1"/>
    <m/>
    <m/>
    <m/>
    <x v="0"/>
    <m/>
    <x v="0"/>
    <m/>
    <m/>
    <m/>
    <m/>
    <m/>
    <m/>
    <m/>
    <m/>
    <m/>
    <m/>
    <m/>
    <m/>
    <x v="0"/>
    <x v="0"/>
    <x v="0"/>
    <m/>
    <m/>
    <x v="0"/>
    <m/>
    <m/>
    <m/>
    <m/>
    <m/>
    <m/>
    <x v="0"/>
    <x v="6"/>
    <x v="1"/>
    <x v="2"/>
    <x v="2"/>
    <x v="2"/>
    <x v="1"/>
    <x v="1"/>
    <x v="1"/>
    <x v="2"/>
    <x v="1"/>
    <x v="3"/>
    <x v="2"/>
    <x v="1"/>
    <x v="2"/>
    <x v="1"/>
    <x v="6"/>
    <x v="6"/>
    <x v="6"/>
    <x v="6"/>
    <x v="3"/>
    <x v="6"/>
    <m/>
    <m/>
    <m/>
    <m/>
  </r>
  <r>
    <m/>
    <x v="3"/>
    <x v="1"/>
    <x v="1"/>
    <m/>
    <m/>
    <m/>
    <x v="0"/>
    <m/>
    <x v="2"/>
    <m/>
    <m/>
    <m/>
    <m/>
    <m/>
    <m/>
    <m/>
    <m/>
    <m/>
    <m/>
    <m/>
    <m/>
    <x v="0"/>
    <x v="0"/>
    <x v="1"/>
    <m/>
    <m/>
    <x v="1"/>
    <m/>
    <m/>
    <m/>
    <m/>
    <m/>
    <m/>
    <x v="1"/>
    <x v="2"/>
    <x v="1"/>
    <x v="3"/>
    <x v="4"/>
    <x v="0"/>
    <x v="3"/>
    <x v="1"/>
    <x v="1"/>
    <x v="2"/>
    <x v="2"/>
    <x v="2"/>
    <x v="2"/>
    <x v="1"/>
    <x v="1"/>
    <x v="1"/>
    <x v="0"/>
    <x v="3"/>
    <x v="2"/>
    <x v="4"/>
    <x v="3"/>
    <x v="1"/>
    <m/>
    <m/>
    <m/>
    <m/>
  </r>
  <r>
    <m/>
    <x v="3"/>
    <x v="1"/>
    <x v="1"/>
    <m/>
    <m/>
    <m/>
    <x v="1"/>
    <m/>
    <x v="2"/>
    <m/>
    <m/>
    <m/>
    <m/>
    <m/>
    <m/>
    <m/>
    <m/>
    <m/>
    <m/>
    <m/>
    <m/>
    <x v="0"/>
    <x v="0"/>
    <x v="0"/>
    <m/>
    <m/>
    <x v="0"/>
    <m/>
    <m/>
    <m/>
    <m/>
    <m/>
    <m/>
    <x v="1"/>
    <x v="2"/>
    <x v="2"/>
    <x v="3"/>
    <x v="4"/>
    <x v="3"/>
    <x v="3"/>
    <x v="2"/>
    <x v="2"/>
    <x v="2"/>
    <x v="2"/>
    <x v="3"/>
    <x v="1"/>
    <x v="1"/>
    <x v="1"/>
    <x v="1"/>
    <x v="4"/>
    <x v="5"/>
    <x v="3"/>
    <x v="4"/>
    <x v="3"/>
    <x v="3"/>
    <m/>
    <m/>
    <m/>
    <m/>
  </r>
  <r>
    <m/>
    <x v="3"/>
    <x v="1"/>
    <x v="1"/>
    <m/>
    <m/>
    <m/>
    <x v="0"/>
    <m/>
    <x v="0"/>
    <m/>
    <m/>
    <m/>
    <m/>
    <m/>
    <m/>
    <m/>
    <m/>
    <m/>
    <m/>
    <m/>
    <m/>
    <x v="0"/>
    <x v="0"/>
    <x v="0"/>
    <m/>
    <m/>
    <x v="0"/>
    <m/>
    <m/>
    <m/>
    <m/>
    <m/>
    <m/>
    <x v="0"/>
    <x v="0"/>
    <x v="1"/>
    <x v="2"/>
    <x v="2"/>
    <x v="2"/>
    <x v="1"/>
    <x v="1"/>
    <x v="1"/>
    <x v="2"/>
    <x v="1"/>
    <x v="3"/>
    <x v="2"/>
    <x v="1"/>
    <x v="2"/>
    <x v="1"/>
    <x v="2"/>
    <x v="3"/>
    <x v="2"/>
    <x v="2"/>
    <x v="2"/>
    <x v="1"/>
    <m/>
    <m/>
    <m/>
    <m/>
  </r>
  <r>
    <m/>
    <x v="3"/>
    <x v="1"/>
    <x v="1"/>
    <m/>
    <m/>
    <m/>
    <x v="0"/>
    <m/>
    <x v="0"/>
    <m/>
    <m/>
    <m/>
    <m/>
    <m/>
    <m/>
    <m/>
    <m/>
    <m/>
    <m/>
    <m/>
    <m/>
    <x v="0"/>
    <x v="0"/>
    <x v="0"/>
    <m/>
    <m/>
    <x v="0"/>
    <m/>
    <m/>
    <m/>
    <m/>
    <m/>
    <m/>
    <x v="0"/>
    <x v="0"/>
    <x v="1"/>
    <x v="2"/>
    <x v="2"/>
    <x v="2"/>
    <x v="1"/>
    <x v="1"/>
    <x v="1"/>
    <x v="2"/>
    <x v="1"/>
    <x v="3"/>
    <x v="2"/>
    <x v="1"/>
    <x v="2"/>
    <x v="1"/>
    <x v="4"/>
    <x v="3"/>
    <x v="3"/>
    <x v="4"/>
    <x v="4"/>
    <x v="3"/>
    <m/>
    <m/>
    <m/>
    <m/>
  </r>
  <r>
    <m/>
    <x v="3"/>
    <x v="1"/>
    <x v="0"/>
    <m/>
    <m/>
    <m/>
    <x v="0"/>
    <m/>
    <x v="6"/>
    <m/>
    <m/>
    <m/>
    <m/>
    <m/>
    <m/>
    <m/>
    <m/>
    <m/>
    <m/>
    <m/>
    <m/>
    <x v="0"/>
    <x v="0"/>
    <x v="1"/>
    <m/>
    <m/>
    <x v="0"/>
    <m/>
    <m/>
    <m/>
    <m/>
    <m/>
    <m/>
    <x v="1"/>
    <x v="0"/>
    <x v="1"/>
    <x v="3"/>
    <x v="4"/>
    <x v="3"/>
    <x v="3"/>
    <x v="1"/>
    <x v="2"/>
    <x v="3"/>
    <x v="2"/>
    <x v="2"/>
    <x v="1"/>
    <x v="1"/>
    <x v="1"/>
    <x v="1"/>
    <x v="4"/>
    <x v="2"/>
    <x v="3"/>
    <x v="2"/>
    <x v="3"/>
    <x v="3"/>
    <m/>
    <m/>
    <m/>
    <m/>
  </r>
  <r>
    <m/>
    <x v="3"/>
    <x v="1"/>
    <x v="1"/>
    <m/>
    <m/>
    <m/>
    <x v="0"/>
    <m/>
    <x v="0"/>
    <m/>
    <m/>
    <m/>
    <m/>
    <m/>
    <m/>
    <m/>
    <m/>
    <m/>
    <m/>
    <m/>
    <m/>
    <x v="0"/>
    <x v="0"/>
    <x v="0"/>
    <m/>
    <m/>
    <x v="0"/>
    <m/>
    <m/>
    <m/>
    <m/>
    <m/>
    <m/>
    <x v="0"/>
    <x v="0"/>
    <x v="1"/>
    <x v="2"/>
    <x v="2"/>
    <x v="2"/>
    <x v="1"/>
    <x v="1"/>
    <x v="1"/>
    <x v="2"/>
    <x v="1"/>
    <x v="3"/>
    <x v="2"/>
    <x v="1"/>
    <x v="2"/>
    <x v="1"/>
    <x v="2"/>
    <x v="2"/>
    <x v="2"/>
    <x v="2"/>
    <x v="2"/>
    <x v="1"/>
    <m/>
    <m/>
    <m/>
    <m/>
  </r>
  <r>
    <m/>
    <x v="3"/>
    <x v="1"/>
    <x v="2"/>
    <m/>
    <m/>
    <m/>
    <x v="0"/>
    <m/>
    <x v="0"/>
    <m/>
    <m/>
    <m/>
    <m/>
    <m/>
    <m/>
    <m/>
    <m/>
    <m/>
    <m/>
    <m/>
    <m/>
    <x v="0"/>
    <x v="0"/>
    <x v="1"/>
    <m/>
    <m/>
    <x v="1"/>
    <m/>
    <m/>
    <m/>
    <m/>
    <m/>
    <m/>
    <x v="1"/>
    <x v="6"/>
    <x v="1"/>
    <x v="2"/>
    <x v="2"/>
    <x v="2"/>
    <x v="1"/>
    <x v="2"/>
    <x v="1"/>
    <x v="2"/>
    <x v="2"/>
    <x v="2"/>
    <x v="1"/>
    <x v="1"/>
    <x v="1"/>
    <x v="1"/>
    <x v="3"/>
    <x v="4"/>
    <x v="5"/>
    <x v="5"/>
    <x v="4"/>
    <x v="1"/>
    <m/>
    <m/>
    <m/>
    <m/>
  </r>
  <r>
    <m/>
    <x v="3"/>
    <x v="4"/>
    <x v="0"/>
    <m/>
    <m/>
    <m/>
    <x v="5"/>
    <m/>
    <x v="6"/>
    <m/>
    <m/>
    <m/>
    <m/>
    <m/>
    <m/>
    <m/>
    <m/>
    <m/>
    <m/>
    <m/>
    <m/>
    <x v="6"/>
    <x v="6"/>
    <x v="6"/>
    <m/>
    <m/>
    <x v="6"/>
    <m/>
    <m/>
    <m/>
    <m/>
    <m/>
    <m/>
    <x v="6"/>
    <x v="6"/>
    <x v="6"/>
    <x v="6"/>
    <x v="6"/>
    <x v="6"/>
    <x v="6"/>
    <x v="6"/>
    <x v="6"/>
    <x v="6"/>
    <x v="6"/>
    <x v="6"/>
    <x v="6"/>
    <x v="6"/>
    <x v="6"/>
    <x v="5"/>
    <x v="6"/>
    <x v="6"/>
    <x v="6"/>
    <x v="6"/>
    <x v="6"/>
    <x v="6"/>
    <m/>
    <m/>
    <m/>
    <m/>
  </r>
  <r>
    <m/>
    <x v="3"/>
    <x v="4"/>
    <x v="1"/>
    <m/>
    <m/>
    <m/>
    <x v="5"/>
    <m/>
    <x v="6"/>
    <m/>
    <m/>
    <m/>
    <m/>
    <m/>
    <m/>
    <m/>
    <m/>
    <m/>
    <m/>
    <m/>
    <m/>
    <x v="6"/>
    <x v="6"/>
    <x v="6"/>
    <m/>
    <m/>
    <x v="6"/>
    <m/>
    <m/>
    <m/>
    <m/>
    <m/>
    <m/>
    <x v="6"/>
    <x v="6"/>
    <x v="6"/>
    <x v="6"/>
    <x v="6"/>
    <x v="6"/>
    <x v="6"/>
    <x v="6"/>
    <x v="6"/>
    <x v="6"/>
    <x v="6"/>
    <x v="6"/>
    <x v="6"/>
    <x v="6"/>
    <x v="6"/>
    <x v="5"/>
    <x v="6"/>
    <x v="6"/>
    <x v="6"/>
    <x v="6"/>
    <x v="6"/>
    <x v="6"/>
    <m/>
    <m/>
    <m/>
    <m/>
  </r>
  <r>
    <m/>
    <x v="3"/>
    <x v="0"/>
    <x v="0"/>
    <m/>
    <m/>
    <m/>
    <x v="0"/>
    <m/>
    <x v="0"/>
    <m/>
    <m/>
    <m/>
    <m/>
    <m/>
    <m/>
    <m/>
    <m/>
    <m/>
    <m/>
    <m/>
    <m/>
    <x v="0"/>
    <x v="0"/>
    <x v="0"/>
    <m/>
    <m/>
    <x v="0"/>
    <m/>
    <m/>
    <m/>
    <m/>
    <m/>
    <m/>
    <x v="0"/>
    <x v="0"/>
    <x v="1"/>
    <x v="2"/>
    <x v="2"/>
    <x v="2"/>
    <x v="1"/>
    <x v="1"/>
    <x v="1"/>
    <x v="2"/>
    <x v="1"/>
    <x v="3"/>
    <x v="2"/>
    <x v="1"/>
    <x v="2"/>
    <x v="1"/>
    <x v="2"/>
    <x v="2"/>
    <x v="2"/>
    <x v="2"/>
    <x v="4"/>
    <x v="4"/>
    <m/>
    <m/>
    <m/>
    <m/>
  </r>
  <r>
    <m/>
    <x v="3"/>
    <x v="0"/>
    <x v="0"/>
    <m/>
    <m/>
    <m/>
    <x v="0"/>
    <m/>
    <x v="2"/>
    <m/>
    <m/>
    <m/>
    <m/>
    <m/>
    <m/>
    <m/>
    <m/>
    <m/>
    <m/>
    <m/>
    <m/>
    <x v="0"/>
    <x v="2"/>
    <x v="0"/>
    <m/>
    <m/>
    <x v="0"/>
    <m/>
    <m/>
    <m/>
    <m/>
    <m/>
    <m/>
    <x v="0"/>
    <x v="0"/>
    <x v="2"/>
    <x v="3"/>
    <x v="4"/>
    <x v="3"/>
    <x v="3"/>
    <x v="2"/>
    <x v="2"/>
    <x v="3"/>
    <x v="2"/>
    <x v="1"/>
    <x v="1"/>
    <x v="1"/>
    <x v="2"/>
    <x v="1"/>
    <x v="2"/>
    <x v="2"/>
    <x v="2"/>
    <x v="2"/>
    <x v="4"/>
    <x v="5"/>
    <m/>
    <m/>
    <m/>
    <m/>
  </r>
  <r>
    <m/>
    <x v="3"/>
    <x v="0"/>
    <x v="0"/>
    <m/>
    <m/>
    <m/>
    <x v="1"/>
    <m/>
    <x v="6"/>
    <m/>
    <m/>
    <m/>
    <m/>
    <m/>
    <m/>
    <m/>
    <m/>
    <m/>
    <m/>
    <m/>
    <m/>
    <x v="6"/>
    <x v="6"/>
    <x v="1"/>
    <m/>
    <m/>
    <x v="1"/>
    <m/>
    <m/>
    <m/>
    <m/>
    <m/>
    <m/>
    <x v="1"/>
    <x v="1"/>
    <x v="2"/>
    <x v="3"/>
    <x v="4"/>
    <x v="3"/>
    <x v="3"/>
    <x v="2"/>
    <x v="2"/>
    <x v="2"/>
    <x v="2"/>
    <x v="2"/>
    <x v="4"/>
    <x v="5"/>
    <x v="1"/>
    <x v="2"/>
    <x v="4"/>
    <x v="3"/>
    <x v="4"/>
    <x v="4"/>
    <x v="6"/>
    <x v="3"/>
    <m/>
    <m/>
    <m/>
    <m/>
  </r>
  <r>
    <m/>
    <x v="3"/>
    <x v="0"/>
    <x v="0"/>
    <m/>
    <m/>
    <m/>
    <x v="4"/>
    <m/>
    <x v="5"/>
    <m/>
    <m/>
    <m/>
    <m/>
    <m/>
    <m/>
    <m/>
    <m/>
    <m/>
    <m/>
    <m/>
    <m/>
    <x v="4"/>
    <x v="4"/>
    <x v="1"/>
    <m/>
    <m/>
    <x v="2"/>
    <m/>
    <m/>
    <m/>
    <m/>
    <m/>
    <m/>
    <x v="0"/>
    <x v="5"/>
    <x v="1"/>
    <x v="0"/>
    <x v="0"/>
    <x v="0"/>
    <x v="0"/>
    <x v="0"/>
    <x v="0"/>
    <x v="0"/>
    <x v="1"/>
    <x v="0"/>
    <x v="1"/>
    <x v="0"/>
    <x v="0"/>
    <x v="0"/>
    <x v="0"/>
    <x v="0"/>
    <x v="2"/>
    <x v="0"/>
    <x v="3"/>
    <x v="0"/>
    <m/>
    <m/>
    <m/>
    <m/>
  </r>
  <r>
    <m/>
    <x v="3"/>
    <x v="0"/>
    <x v="0"/>
    <m/>
    <m/>
    <m/>
    <x v="0"/>
    <m/>
    <x v="0"/>
    <m/>
    <m/>
    <m/>
    <m/>
    <m/>
    <m/>
    <m/>
    <m/>
    <m/>
    <m/>
    <m/>
    <m/>
    <x v="0"/>
    <x v="0"/>
    <x v="0"/>
    <m/>
    <m/>
    <x v="0"/>
    <m/>
    <m/>
    <m/>
    <m/>
    <m/>
    <m/>
    <x v="0"/>
    <x v="0"/>
    <x v="1"/>
    <x v="3"/>
    <x v="4"/>
    <x v="2"/>
    <x v="1"/>
    <x v="1"/>
    <x v="1"/>
    <x v="3"/>
    <x v="1"/>
    <x v="2"/>
    <x v="1"/>
    <x v="1"/>
    <x v="2"/>
    <x v="2"/>
    <x v="2"/>
    <x v="3"/>
    <x v="2"/>
    <x v="2"/>
    <x v="3"/>
    <x v="1"/>
    <m/>
    <m/>
    <m/>
    <m/>
  </r>
  <r>
    <m/>
    <x v="3"/>
    <x v="0"/>
    <x v="0"/>
    <m/>
    <m/>
    <m/>
    <x v="0"/>
    <m/>
    <x v="2"/>
    <m/>
    <m/>
    <m/>
    <m/>
    <m/>
    <m/>
    <m/>
    <m/>
    <m/>
    <m/>
    <m/>
    <m/>
    <x v="0"/>
    <x v="0"/>
    <x v="0"/>
    <m/>
    <m/>
    <x v="0"/>
    <m/>
    <m/>
    <m/>
    <m/>
    <m/>
    <m/>
    <x v="0"/>
    <x v="0"/>
    <x v="2"/>
    <x v="3"/>
    <x v="4"/>
    <x v="2"/>
    <x v="1"/>
    <x v="2"/>
    <x v="1"/>
    <x v="2"/>
    <x v="1"/>
    <x v="2"/>
    <x v="2"/>
    <x v="1"/>
    <x v="2"/>
    <x v="1"/>
    <x v="2"/>
    <x v="3"/>
    <x v="2"/>
    <x v="2"/>
    <x v="3"/>
    <x v="3"/>
    <m/>
    <m/>
    <m/>
    <m/>
  </r>
  <r>
    <m/>
    <x v="3"/>
    <x v="0"/>
    <x v="1"/>
    <m/>
    <m/>
    <m/>
    <x v="0"/>
    <m/>
    <x v="0"/>
    <m/>
    <m/>
    <m/>
    <m/>
    <m/>
    <m/>
    <m/>
    <m/>
    <m/>
    <m/>
    <m/>
    <m/>
    <x v="0"/>
    <x v="0"/>
    <x v="0"/>
    <m/>
    <m/>
    <x v="1"/>
    <m/>
    <m/>
    <m/>
    <m/>
    <m/>
    <m/>
    <x v="0"/>
    <x v="6"/>
    <x v="6"/>
    <x v="2"/>
    <x v="2"/>
    <x v="3"/>
    <x v="3"/>
    <x v="6"/>
    <x v="2"/>
    <x v="6"/>
    <x v="6"/>
    <x v="2"/>
    <x v="6"/>
    <x v="1"/>
    <x v="2"/>
    <x v="2"/>
    <x v="2"/>
    <x v="2"/>
    <x v="2"/>
    <x v="4"/>
    <x v="6"/>
    <x v="3"/>
    <m/>
    <m/>
    <m/>
    <m/>
  </r>
  <r>
    <m/>
    <x v="3"/>
    <x v="0"/>
    <x v="0"/>
    <m/>
    <m/>
    <m/>
    <x v="0"/>
    <m/>
    <x v="5"/>
    <m/>
    <m/>
    <m/>
    <m/>
    <m/>
    <m/>
    <m/>
    <m/>
    <m/>
    <m/>
    <m/>
    <m/>
    <x v="4"/>
    <x v="4"/>
    <x v="0"/>
    <m/>
    <m/>
    <x v="2"/>
    <m/>
    <m/>
    <m/>
    <m/>
    <m/>
    <m/>
    <x v="0"/>
    <x v="5"/>
    <x v="0"/>
    <x v="0"/>
    <x v="0"/>
    <x v="0"/>
    <x v="0"/>
    <x v="0"/>
    <x v="0"/>
    <x v="0"/>
    <x v="1"/>
    <x v="0"/>
    <x v="0"/>
    <x v="1"/>
    <x v="0"/>
    <x v="0"/>
    <x v="0"/>
    <x v="0"/>
    <x v="0"/>
    <x v="2"/>
    <x v="2"/>
    <x v="0"/>
    <m/>
    <m/>
    <m/>
    <m/>
  </r>
  <r>
    <m/>
    <x v="3"/>
    <x v="0"/>
    <x v="0"/>
    <m/>
    <m/>
    <m/>
    <x v="0"/>
    <m/>
    <x v="0"/>
    <m/>
    <m/>
    <m/>
    <m/>
    <m/>
    <m/>
    <m/>
    <m/>
    <m/>
    <m/>
    <m/>
    <m/>
    <x v="0"/>
    <x v="0"/>
    <x v="1"/>
    <m/>
    <m/>
    <x v="0"/>
    <m/>
    <m/>
    <m/>
    <m/>
    <m/>
    <m/>
    <x v="1"/>
    <x v="0"/>
    <x v="1"/>
    <x v="2"/>
    <x v="2"/>
    <x v="3"/>
    <x v="3"/>
    <x v="1"/>
    <x v="1"/>
    <x v="2"/>
    <x v="2"/>
    <x v="2"/>
    <x v="2"/>
    <x v="1"/>
    <x v="1"/>
    <x v="1"/>
    <x v="2"/>
    <x v="2"/>
    <x v="3"/>
    <x v="2"/>
    <x v="3"/>
    <x v="3"/>
    <m/>
    <m/>
    <m/>
    <m/>
  </r>
  <r>
    <m/>
    <x v="3"/>
    <x v="0"/>
    <x v="0"/>
    <m/>
    <m/>
    <m/>
    <x v="0"/>
    <m/>
    <x v="0"/>
    <m/>
    <m/>
    <m/>
    <m/>
    <m/>
    <m/>
    <m/>
    <m/>
    <m/>
    <m/>
    <m/>
    <m/>
    <x v="0"/>
    <x v="0"/>
    <x v="0"/>
    <m/>
    <m/>
    <x v="0"/>
    <m/>
    <m/>
    <m/>
    <m/>
    <m/>
    <m/>
    <x v="0"/>
    <x v="0"/>
    <x v="1"/>
    <x v="2"/>
    <x v="2"/>
    <x v="2"/>
    <x v="1"/>
    <x v="1"/>
    <x v="1"/>
    <x v="2"/>
    <x v="1"/>
    <x v="3"/>
    <x v="2"/>
    <x v="1"/>
    <x v="1"/>
    <x v="1"/>
    <x v="1"/>
    <x v="3"/>
    <x v="2"/>
    <x v="2"/>
    <x v="2"/>
    <x v="1"/>
    <m/>
    <m/>
    <m/>
    <m/>
  </r>
  <r>
    <m/>
    <x v="3"/>
    <x v="0"/>
    <x v="1"/>
    <m/>
    <m/>
    <m/>
    <x v="1"/>
    <m/>
    <x v="2"/>
    <m/>
    <m/>
    <m/>
    <m/>
    <m/>
    <m/>
    <m/>
    <m/>
    <m/>
    <m/>
    <m/>
    <m/>
    <x v="0"/>
    <x v="0"/>
    <x v="0"/>
    <m/>
    <m/>
    <x v="0"/>
    <m/>
    <m/>
    <m/>
    <m/>
    <m/>
    <m/>
    <x v="0"/>
    <x v="0"/>
    <x v="1"/>
    <x v="2"/>
    <x v="2"/>
    <x v="3"/>
    <x v="1"/>
    <x v="1"/>
    <x v="1"/>
    <x v="2"/>
    <x v="1"/>
    <x v="2"/>
    <x v="2"/>
    <x v="1"/>
    <x v="1"/>
    <x v="1"/>
    <x v="4"/>
    <x v="2"/>
    <x v="2"/>
    <x v="2"/>
    <x v="3"/>
    <x v="1"/>
    <m/>
    <m/>
    <m/>
    <m/>
  </r>
  <r>
    <m/>
    <x v="3"/>
    <x v="0"/>
    <x v="1"/>
    <m/>
    <m/>
    <m/>
    <x v="1"/>
    <m/>
    <x v="2"/>
    <m/>
    <m/>
    <m/>
    <m/>
    <m/>
    <m/>
    <m/>
    <m/>
    <m/>
    <m/>
    <m/>
    <m/>
    <x v="0"/>
    <x v="0"/>
    <x v="1"/>
    <m/>
    <m/>
    <x v="0"/>
    <m/>
    <m/>
    <m/>
    <m/>
    <m/>
    <m/>
    <x v="1"/>
    <x v="4"/>
    <x v="2"/>
    <x v="3"/>
    <x v="4"/>
    <x v="3"/>
    <x v="1"/>
    <x v="2"/>
    <x v="2"/>
    <x v="6"/>
    <x v="2"/>
    <x v="1"/>
    <x v="6"/>
    <x v="2"/>
    <x v="3"/>
    <x v="1"/>
    <x v="2"/>
    <x v="2"/>
    <x v="2"/>
    <x v="4"/>
    <x v="3"/>
    <x v="3"/>
    <m/>
    <m/>
    <m/>
    <m/>
  </r>
  <r>
    <m/>
    <x v="3"/>
    <x v="0"/>
    <x v="1"/>
    <m/>
    <m/>
    <m/>
    <x v="1"/>
    <m/>
    <x v="2"/>
    <m/>
    <m/>
    <m/>
    <m/>
    <m/>
    <m/>
    <m/>
    <m/>
    <m/>
    <m/>
    <m/>
    <m/>
    <x v="0"/>
    <x v="0"/>
    <x v="1"/>
    <m/>
    <m/>
    <x v="0"/>
    <m/>
    <m/>
    <m/>
    <m/>
    <m/>
    <m/>
    <x v="1"/>
    <x v="1"/>
    <x v="5"/>
    <x v="5"/>
    <x v="5"/>
    <x v="3"/>
    <x v="5"/>
    <x v="5"/>
    <x v="3"/>
    <x v="5"/>
    <x v="6"/>
    <x v="5"/>
    <x v="1"/>
    <x v="4"/>
    <x v="4"/>
    <x v="2"/>
    <x v="1"/>
    <x v="6"/>
    <x v="2"/>
    <x v="2"/>
    <x v="4"/>
    <x v="5"/>
    <m/>
    <m/>
    <m/>
    <m/>
  </r>
  <r>
    <m/>
    <x v="3"/>
    <x v="0"/>
    <x v="1"/>
    <m/>
    <m/>
    <m/>
    <x v="0"/>
    <m/>
    <x v="2"/>
    <m/>
    <m/>
    <m/>
    <m/>
    <m/>
    <m/>
    <m/>
    <m/>
    <m/>
    <m/>
    <m/>
    <m/>
    <x v="0"/>
    <x v="0"/>
    <x v="0"/>
    <m/>
    <m/>
    <x v="0"/>
    <m/>
    <m/>
    <m/>
    <m/>
    <m/>
    <m/>
    <x v="0"/>
    <x v="2"/>
    <x v="2"/>
    <x v="3"/>
    <x v="2"/>
    <x v="2"/>
    <x v="2"/>
    <x v="2"/>
    <x v="2"/>
    <x v="3"/>
    <x v="6"/>
    <x v="2"/>
    <x v="1"/>
    <x v="1"/>
    <x v="3"/>
    <x v="2"/>
    <x v="4"/>
    <x v="3"/>
    <x v="2"/>
    <x v="2"/>
    <x v="3"/>
    <x v="3"/>
    <m/>
    <m/>
    <m/>
    <m/>
  </r>
  <r>
    <m/>
    <x v="3"/>
    <x v="0"/>
    <x v="0"/>
    <m/>
    <m/>
    <m/>
    <x v="0"/>
    <m/>
    <x v="0"/>
    <m/>
    <m/>
    <m/>
    <m/>
    <m/>
    <m/>
    <m/>
    <m/>
    <m/>
    <m/>
    <m/>
    <m/>
    <x v="0"/>
    <x v="0"/>
    <x v="0"/>
    <m/>
    <m/>
    <x v="0"/>
    <m/>
    <m/>
    <m/>
    <m/>
    <m/>
    <m/>
    <x v="0"/>
    <x v="0"/>
    <x v="1"/>
    <x v="2"/>
    <x v="4"/>
    <x v="2"/>
    <x v="1"/>
    <x v="1"/>
    <x v="1"/>
    <x v="2"/>
    <x v="1"/>
    <x v="2"/>
    <x v="1"/>
    <x v="1"/>
    <x v="1"/>
    <x v="1"/>
    <x v="4"/>
    <x v="2"/>
    <x v="2"/>
    <x v="2"/>
    <x v="4"/>
    <x v="3"/>
    <m/>
    <m/>
    <m/>
    <m/>
  </r>
  <r>
    <m/>
    <x v="3"/>
    <x v="0"/>
    <x v="2"/>
    <m/>
    <m/>
    <m/>
    <x v="0"/>
    <m/>
    <x v="6"/>
    <m/>
    <m/>
    <m/>
    <m/>
    <m/>
    <m/>
    <m/>
    <m/>
    <m/>
    <m/>
    <m/>
    <m/>
    <x v="0"/>
    <x v="0"/>
    <x v="0"/>
    <m/>
    <m/>
    <x v="0"/>
    <m/>
    <m/>
    <m/>
    <m/>
    <m/>
    <m/>
    <x v="0"/>
    <x v="1"/>
    <x v="2"/>
    <x v="6"/>
    <x v="4"/>
    <x v="3"/>
    <x v="3"/>
    <x v="1"/>
    <x v="6"/>
    <x v="5"/>
    <x v="2"/>
    <x v="5"/>
    <x v="2"/>
    <x v="1"/>
    <x v="3"/>
    <x v="1"/>
    <x v="4"/>
    <x v="2"/>
    <x v="3"/>
    <x v="4"/>
    <x v="4"/>
    <x v="3"/>
    <m/>
    <m/>
    <m/>
    <m/>
  </r>
  <r>
    <m/>
    <x v="3"/>
    <x v="2"/>
    <x v="1"/>
    <m/>
    <m/>
    <m/>
    <x v="0"/>
    <m/>
    <x v="0"/>
    <m/>
    <m/>
    <m/>
    <m/>
    <m/>
    <m/>
    <m/>
    <m/>
    <m/>
    <m/>
    <m/>
    <m/>
    <x v="0"/>
    <x v="0"/>
    <x v="0"/>
    <m/>
    <m/>
    <x v="1"/>
    <m/>
    <m/>
    <m/>
    <m/>
    <m/>
    <m/>
    <x v="1"/>
    <x v="2"/>
    <x v="1"/>
    <x v="3"/>
    <x v="2"/>
    <x v="2"/>
    <x v="1"/>
    <x v="1"/>
    <x v="2"/>
    <x v="2"/>
    <x v="1"/>
    <x v="3"/>
    <x v="1"/>
    <x v="1"/>
    <x v="1"/>
    <x v="2"/>
    <x v="4"/>
    <x v="3"/>
    <x v="3"/>
    <x v="2"/>
    <x v="4"/>
    <x v="5"/>
    <m/>
    <m/>
    <m/>
    <m/>
  </r>
  <r>
    <m/>
    <x v="3"/>
    <x v="2"/>
    <x v="1"/>
    <m/>
    <m/>
    <m/>
    <x v="0"/>
    <m/>
    <x v="0"/>
    <m/>
    <m/>
    <m/>
    <m/>
    <m/>
    <m/>
    <m/>
    <m/>
    <m/>
    <m/>
    <m/>
    <m/>
    <x v="0"/>
    <x v="0"/>
    <x v="0"/>
    <m/>
    <m/>
    <x v="0"/>
    <m/>
    <m/>
    <m/>
    <m/>
    <m/>
    <m/>
    <x v="0"/>
    <x v="0"/>
    <x v="1"/>
    <x v="2"/>
    <x v="2"/>
    <x v="2"/>
    <x v="1"/>
    <x v="1"/>
    <x v="1"/>
    <x v="2"/>
    <x v="2"/>
    <x v="5"/>
    <x v="1"/>
    <x v="1"/>
    <x v="3"/>
    <x v="1"/>
    <x v="2"/>
    <x v="2"/>
    <x v="3"/>
    <x v="4"/>
    <x v="3"/>
    <x v="6"/>
    <m/>
    <m/>
    <m/>
    <m/>
  </r>
  <r>
    <m/>
    <x v="3"/>
    <x v="2"/>
    <x v="1"/>
    <m/>
    <m/>
    <m/>
    <x v="1"/>
    <m/>
    <x v="2"/>
    <m/>
    <m/>
    <m/>
    <m/>
    <m/>
    <m/>
    <m/>
    <m/>
    <m/>
    <m/>
    <m/>
    <m/>
    <x v="5"/>
    <x v="5"/>
    <x v="1"/>
    <m/>
    <m/>
    <x v="0"/>
    <m/>
    <m/>
    <m/>
    <m/>
    <m/>
    <m/>
    <x v="0"/>
    <x v="0"/>
    <x v="1"/>
    <x v="2"/>
    <x v="4"/>
    <x v="2"/>
    <x v="0"/>
    <x v="1"/>
    <x v="1"/>
    <x v="3"/>
    <x v="3"/>
    <x v="3"/>
    <x v="1"/>
    <x v="1"/>
    <x v="3"/>
    <x v="1"/>
    <x v="2"/>
    <x v="2"/>
    <x v="3"/>
    <x v="2"/>
    <x v="3"/>
    <x v="1"/>
    <m/>
    <m/>
    <m/>
    <m/>
  </r>
  <r>
    <m/>
    <x v="3"/>
    <x v="2"/>
    <x v="1"/>
    <m/>
    <m/>
    <m/>
    <x v="4"/>
    <m/>
    <x v="5"/>
    <m/>
    <m/>
    <m/>
    <m/>
    <m/>
    <m/>
    <m/>
    <m/>
    <m/>
    <m/>
    <m/>
    <m/>
    <x v="4"/>
    <x v="4"/>
    <x v="5"/>
    <m/>
    <m/>
    <x v="4"/>
    <m/>
    <m/>
    <m/>
    <m/>
    <m/>
    <m/>
    <x v="1"/>
    <x v="2"/>
    <x v="0"/>
    <x v="4"/>
    <x v="4"/>
    <x v="3"/>
    <x v="3"/>
    <x v="2"/>
    <x v="2"/>
    <x v="0"/>
    <x v="0"/>
    <x v="0"/>
    <x v="0"/>
    <x v="0"/>
    <x v="0"/>
    <x v="0"/>
    <x v="4"/>
    <x v="5"/>
    <x v="0"/>
    <x v="0"/>
    <x v="3"/>
    <x v="3"/>
    <m/>
    <m/>
    <m/>
    <m/>
  </r>
  <r>
    <m/>
    <x v="3"/>
    <x v="2"/>
    <x v="1"/>
    <m/>
    <m/>
    <m/>
    <x v="1"/>
    <m/>
    <x v="2"/>
    <m/>
    <m/>
    <m/>
    <m/>
    <m/>
    <m/>
    <m/>
    <m/>
    <m/>
    <m/>
    <m/>
    <m/>
    <x v="5"/>
    <x v="2"/>
    <x v="0"/>
    <m/>
    <m/>
    <x v="0"/>
    <m/>
    <m/>
    <m/>
    <m/>
    <m/>
    <m/>
    <x v="1"/>
    <x v="0"/>
    <x v="2"/>
    <x v="3"/>
    <x v="4"/>
    <x v="2"/>
    <x v="3"/>
    <x v="2"/>
    <x v="1"/>
    <x v="2"/>
    <x v="2"/>
    <x v="6"/>
    <x v="2"/>
    <x v="1"/>
    <x v="2"/>
    <x v="1"/>
    <x v="2"/>
    <x v="2"/>
    <x v="2"/>
    <x v="2"/>
    <x v="2"/>
    <x v="6"/>
    <m/>
    <m/>
    <m/>
    <m/>
  </r>
  <r>
    <m/>
    <x v="3"/>
    <x v="2"/>
    <x v="1"/>
    <m/>
    <m/>
    <m/>
    <x v="0"/>
    <m/>
    <x v="6"/>
    <m/>
    <m/>
    <m/>
    <m/>
    <m/>
    <m/>
    <m/>
    <m/>
    <m/>
    <m/>
    <m/>
    <m/>
    <x v="5"/>
    <x v="0"/>
    <x v="1"/>
    <m/>
    <m/>
    <x v="0"/>
    <m/>
    <m/>
    <m/>
    <m/>
    <m/>
    <m/>
    <x v="1"/>
    <x v="0"/>
    <x v="2"/>
    <x v="4"/>
    <x v="4"/>
    <x v="3"/>
    <x v="3"/>
    <x v="1"/>
    <x v="6"/>
    <x v="6"/>
    <x v="1"/>
    <x v="6"/>
    <x v="2"/>
    <x v="4"/>
    <x v="4"/>
    <x v="1"/>
    <x v="2"/>
    <x v="2"/>
    <x v="3"/>
    <x v="2"/>
    <x v="2"/>
    <x v="6"/>
    <m/>
    <m/>
    <m/>
    <m/>
  </r>
  <r>
    <m/>
    <x v="3"/>
    <x v="4"/>
    <x v="0"/>
    <m/>
    <m/>
    <m/>
    <x v="0"/>
    <m/>
    <x v="2"/>
    <m/>
    <m/>
    <m/>
    <m/>
    <m/>
    <m/>
    <m/>
    <m/>
    <m/>
    <m/>
    <m/>
    <m/>
    <x v="5"/>
    <x v="2"/>
    <x v="3"/>
    <m/>
    <m/>
    <x v="0"/>
    <m/>
    <m/>
    <m/>
    <m/>
    <m/>
    <m/>
    <x v="2"/>
    <x v="4"/>
    <x v="2"/>
    <x v="2"/>
    <x v="4"/>
    <x v="2"/>
    <x v="1"/>
    <x v="1"/>
    <x v="1"/>
    <x v="3"/>
    <x v="5"/>
    <x v="1"/>
    <x v="1"/>
    <x v="1"/>
    <x v="2"/>
    <x v="1"/>
    <x v="3"/>
    <x v="6"/>
    <x v="2"/>
    <x v="2"/>
    <x v="5"/>
    <x v="1"/>
    <m/>
    <m/>
    <m/>
    <m/>
  </r>
  <r>
    <m/>
    <x v="3"/>
    <x v="4"/>
    <x v="1"/>
    <m/>
    <m/>
    <m/>
    <x v="0"/>
    <m/>
    <x v="2"/>
    <m/>
    <m/>
    <m/>
    <m/>
    <m/>
    <m/>
    <m/>
    <m/>
    <m/>
    <m/>
    <m/>
    <m/>
    <x v="6"/>
    <x v="0"/>
    <x v="0"/>
    <m/>
    <m/>
    <x v="1"/>
    <m/>
    <m/>
    <m/>
    <m/>
    <m/>
    <m/>
    <x v="0"/>
    <x v="2"/>
    <x v="1"/>
    <x v="4"/>
    <x v="2"/>
    <x v="2"/>
    <x v="1"/>
    <x v="4"/>
    <x v="1"/>
    <x v="2"/>
    <x v="1"/>
    <x v="3"/>
    <x v="2"/>
    <x v="1"/>
    <x v="3"/>
    <x v="1"/>
    <x v="4"/>
    <x v="2"/>
    <x v="2"/>
    <x v="6"/>
    <x v="5"/>
    <x v="3"/>
    <m/>
    <m/>
    <m/>
    <m/>
  </r>
  <r>
    <m/>
    <x v="3"/>
    <x v="4"/>
    <x v="1"/>
    <m/>
    <m/>
    <m/>
    <x v="0"/>
    <m/>
    <x v="4"/>
    <m/>
    <m/>
    <m/>
    <m/>
    <m/>
    <m/>
    <m/>
    <m/>
    <m/>
    <m/>
    <m/>
    <m/>
    <x v="0"/>
    <x v="6"/>
    <x v="6"/>
    <m/>
    <m/>
    <x v="0"/>
    <m/>
    <m/>
    <m/>
    <m/>
    <m/>
    <m/>
    <x v="1"/>
    <x v="0"/>
    <x v="1"/>
    <x v="5"/>
    <x v="2"/>
    <x v="2"/>
    <x v="1"/>
    <x v="1"/>
    <x v="1"/>
    <x v="2"/>
    <x v="1"/>
    <x v="3"/>
    <x v="2"/>
    <x v="2"/>
    <x v="4"/>
    <x v="5"/>
    <x v="4"/>
    <x v="4"/>
    <x v="2"/>
    <x v="6"/>
    <x v="5"/>
    <x v="1"/>
    <m/>
    <m/>
    <m/>
    <m/>
  </r>
  <r>
    <m/>
    <x v="3"/>
    <x v="4"/>
    <x v="1"/>
    <m/>
    <m/>
    <m/>
    <x v="0"/>
    <m/>
    <x v="0"/>
    <m/>
    <m/>
    <m/>
    <m/>
    <m/>
    <m/>
    <m/>
    <m/>
    <m/>
    <m/>
    <m/>
    <m/>
    <x v="0"/>
    <x v="0"/>
    <x v="0"/>
    <m/>
    <m/>
    <x v="0"/>
    <m/>
    <m/>
    <m/>
    <m/>
    <m/>
    <m/>
    <x v="0"/>
    <x v="2"/>
    <x v="2"/>
    <x v="3"/>
    <x v="4"/>
    <x v="3"/>
    <x v="1"/>
    <x v="5"/>
    <x v="2"/>
    <x v="2"/>
    <x v="1"/>
    <x v="2"/>
    <x v="2"/>
    <x v="1"/>
    <x v="3"/>
    <x v="1"/>
    <x v="3"/>
    <x v="2"/>
    <x v="2"/>
    <x v="6"/>
    <x v="4"/>
    <x v="3"/>
    <m/>
    <m/>
    <m/>
    <m/>
  </r>
  <r>
    <m/>
    <x v="3"/>
    <x v="4"/>
    <x v="2"/>
    <m/>
    <m/>
    <m/>
    <x v="0"/>
    <m/>
    <x v="0"/>
    <m/>
    <m/>
    <m/>
    <m/>
    <m/>
    <m/>
    <m/>
    <m/>
    <m/>
    <m/>
    <m/>
    <m/>
    <x v="2"/>
    <x v="5"/>
    <x v="1"/>
    <m/>
    <m/>
    <x v="1"/>
    <m/>
    <m/>
    <m/>
    <m/>
    <m/>
    <m/>
    <x v="0"/>
    <x v="2"/>
    <x v="1"/>
    <x v="2"/>
    <x v="4"/>
    <x v="2"/>
    <x v="3"/>
    <x v="1"/>
    <x v="1"/>
    <x v="2"/>
    <x v="1"/>
    <x v="2"/>
    <x v="1"/>
    <x v="1"/>
    <x v="1"/>
    <x v="1"/>
    <x v="4"/>
    <x v="3"/>
    <x v="3"/>
    <x v="4"/>
    <x v="3"/>
    <x v="1"/>
    <m/>
    <m/>
    <m/>
    <m/>
  </r>
  <r>
    <m/>
    <x v="3"/>
    <x v="4"/>
    <x v="0"/>
    <m/>
    <m/>
    <m/>
    <x v="0"/>
    <m/>
    <x v="0"/>
    <m/>
    <m/>
    <m/>
    <m/>
    <m/>
    <m/>
    <m/>
    <m/>
    <m/>
    <m/>
    <m/>
    <m/>
    <x v="2"/>
    <x v="0"/>
    <x v="0"/>
    <m/>
    <m/>
    <x v="0"/>
    <m/>
    <m/>
    <m/>
    <m/>
    <m/>
    <m/>
    <x v="0"/>
    <x v="0"/>
    <x v="1"/>
    <x v="2"/>
    <x v="2"/>
    <x v="2"/>
    <x v="1"/>
    <x v="1"/>
    <x v="1"/>
    <x v="2"/>
    <x v="1"/>
    <x v="3"/>
    <x v="2"/>
    <x v="1"/>
    <x v="2"/>
    <x v="2"/>
    <x v="2"/>
    <x v="2"/>
    <x v="2"/>
    <x v="2"/>
    <x v="2"/>
    <x v="1"/>
    <m/>
    <m/>
    <m/>
    <m/>
  </r>
  <r>
    <m/>
    <x v="3"/>
    <x v="2"/>
    <x v="1"/>
    <m/>
    <m/>
    <m/>
    <x v="0"/>
    <m/>
    <x v="0"/>
    <m/>
    <m/>
    <m/>
    <m/>
    <m/>
    <m/>
    <m/>
    <m/>
    <m/>
    <m/>
    <m/>
    <m/>
    <x v="0"/>
    <x v="0"/>
    <x v="0"/>
    <m/>
    <m/>
    <x v="0"/>
    <m/>
    <m/>
    <m/>
    <m/>
    <m/>
    <m/>
    <x v="0"/>
    <x v="1"/>
    <x v="1"/>
    <x v="2"/>
    <x v="2"/>
    <x v="2"/>
    <x v="1"/>
    <x v="1"/>
    <x v="1"/>
    <x v="2"/>
    <x v="1"/>
    <x v="3"/>
    <x v="2"/>
    <x v="1"/>
    <x v="2"/>
    <x v="0"/>
    <x v="3"/>
    <x v="2"/>
    <x v="2"/>
    <x v="2"/>
    <x v="5"/>
    <x v="6"/>
    <m/>
    <m/>
    <m/>
    <m/>
  </r>
  <r>
    <m/>
    <x v="3"/>
    <x v="2"/>
    <x v="1"/>
    <m/>
    <m/>
    <m/>
    <x v="6"/>
    <m/>
    <x v="4"/>
    <m/>
    <m/>
    <m/>
    <m/>
    <m/>
    <m/>
    <m/>
    <m/>
    <m/>
    <m/>
    <m/>
    <m/>
    <x v="5"/>
    <x v="2"/>
    <x v="3"/>
    <m/>
    <m/>
    <x v="4"/>
    <m/>
    <m/>
    <m/>
    <m/>
    <m/>
    <m/>
    <x v="4"/>
    <x v="1"/>
    <x v="3"/>
    <x v="2"/>
    <x v="2"/>
    <x v="5"/>
    <x v="2"/>
    <x v="1"/>
    <x v="3"/>
    <x v="6"/>
    <x v="3"/>
    <x v="5"/>
    <x v="4"/>
    <x v="5"/>
    <x v="4"/>
    <x v="4"/>
    <x v="3"/>
    <x v="4"/>
    <x v="5"/>
    <x v="5"/>
    <x v="5"/>
    <x v="4"/>
    <m/>
    <m/>
    <m/>
    <m/>
  </r>
  <r>
    <m/>
    <x v="3"/>
    <x v="0"/>
    <x v="1"/>
    <m/>
    <m/>
    <m/>
    <x v="4"/>
    <m/>
    <x v="5"/>
    <m/>
    <m/>
    <m/>
    <m/>
    <m/>
    <m/>
    <m/>
    <m/>
    <m/>
    <m/>
    <m/>
    <m/>
    <x v="4"/>
    <x v="4"/>
    <x v="1"/>
    <m/>
    <m/>
    <x v="2"/>
    <m/>
    <m/>
    <m/>
    <m/>
    <m/>
    <m/>
    <x v="1"/>
    <x v="5"/>
    <x v="0"/>
    <x v="3"/>
    <x v="0"/>
    <x v="0"/>
    <x v="3"/>
    <x v="0"/>
    <x v="0"/>
    <x v="0"/>
    <x v="0"/>
    <x v="0"/>
    <x v="0"/>
    <x v="2"/>
    <x v="0"/>
    <x v="0"/>
    <x v="0"/>
    <x v="0"/>
    <x v="3"/>
    <x v="0"/>
    <x v="3"/>
    <x v="1"/>
    <m/>
    <m/>
    <m/>
    <m/>
  </r>
  <r>
    <m/>
    <x v="3"/>
    <x v="0"/>
    <x v="1"/>
    <m/>
    <m/>
    <m/>
    <x v="0"/>
    <m/>
    <x v="0"/>
    <m/>
    <m/>
    <m/>
    <m/>
    <m/>
    <m/>
    <m/>
    <m/>
    <m/>
    <m/>
    <m/>
    <m/>
    <x v="0"/>
    <x v="0"/>
    <x v="0"/>
    <m/>
    <m/>
    <x v="0"/>
    <m/>
    <m/>
    <m/>
    <m/>
    <m/>
    <m/>
    <x v="0"/>
    <x v="0"/>
    <x v="1"/>
    <x v="2"/>
    <x v="2"/>
    <x v="2"/>
    <x v="1"/>
    <x v="1"/>
    <x v="1"/>
    <x v="2"/>
    <x v="1"/>
    <x v="3"/>
    <x v="2"/>
    <x v="1"/>
    <x v="2"/>
    <x v="1"/>
    <x v="2"/>
    <x v="2"/>
    <x v="2"/>
    <x v="2"/>
    <x v="2"/>
    <x v="1"/>
    <m/>
    <m/>
    <m/>
    <m/>
  </r>
  <r>
    <m/>
    <x v="3"/>
    <x v="0"/>
    <x v="1"/>
    <m/>
    <m/>
    <m/>
    <x v="0"/>
    <m/>
    <x v="2"/>
    <m/>
    <m/>
    <m/>
    <m/>
    <m/>
    <m/>
    <m/>
    <m/>
    <m/>
    <m/>
    <m/>
    <m/>
    <x v="0"/>
    <x v="0"/>
    <x v="0"/>
    <m/>
    <m/>
    <x v="0"/>
    <m/>
    <m/>
    <m/>
    <m/>
    <m/>
    <m/>
    <x v="0"/>
    <x v="0"/>
    <x v="1"/>
    <x v="6"/>
    <x v="4"/>
    <x v="3"/>
    <x v="1"/>
    <x v="1"/>
    <x v="1"/>
    <x v="2"/>
    <x v="1"/>
    <x v="2"/>
    <x v="2"/>
    <x v="1"/>
    <x v="1"/>
    <x v="1"/>
    <x v="4"/>
    <x v="2"/>
    <x v="2"/>
    <x v="2"/>
    <x v="5"/>
    <x v="6"/>
    <m/>
    <m/>
    <m/>
    <m/>
  </r>
  <r>
    <m/>
    <x v="3"/>
    <x v="0"/>
    <x v="0"/>
    <m/>
    <m/>
    <m/>
    <x v="4"/>
    <m/>
    <x v="5"/>
    <m/>
    <m/>
    <m/>
    <m/>
    <m/>
    <m/>
    <m/>
    <m/>
    <m/>
    <m/>
    <m/>
    <m/>
    <x v="4"/>
    <x v="4"/>
    <x v="5"/>
    <m/>
    <m/>
    <x v="2"/>
    <m/>
    <m/>
    <m/>
    <m/>
    <m/>
    <m/>
    <x v="5"/>
    <x v="5"/>
    <x v="0"/>
    <x v="0"/>
    <x v="0"/>
    <x v="0"/>
    <x v="0"/>
    <x v="0"/>
    <x v="0"/>
    <x v="0"/>
    <x v="0"/>
    <x v="0"/>
    <x v="0"/>
    <x v="0"/>
    <x v="0"/>
    <x v="0"/>
    <x v="0"/>
    <x v="0"/>
    <x v="0"/>
    <x v="0"/>
    <x v="0"/>
    <x v="0"/>
    <m/>
    <m/>
    <m/>
    <m/>
  </r>
  <r>
    <m/>
    <x v="3"/>
    <x v="0"/>
    <x v="1"/>
    <m/>
    <m/>
    <m/>
    <x v="1"/>
    <m/>
    <x v="0"/>
    <m/>
    <m/>
    <m/>
    <m/>
    <m/>
    <m/>
    <m/>
    <m/>
    <m/>
    <m/>
    <m/>
    <m/>
    <x v="0"/>
    <x v="1"/>
    <x v="1"/>
    <m/>
    <m/>
    <x v="0"/>
    <m/>
    <m/>
    <m/>
    <m/>
    <m/>
    <m/>
    <x v="0"/>
    <x v="2"/>
    <x v="2"/>
    <x v="2"/>
    <x v="4"/>
    <x v="2"/>
    <x v="3"/>
    <x v="1"/>
    <x v="1"/>
    <x v="2"/>
    <x v="2"/>
    <x v="1"/>
    <x v="1"/>
    <x v="1"/>
    <x v="3"/>
    <x v="1"/>
    <x v="4"/>
    <x v="3"/>
    <x v="2"/>
    <x v="2"/>
    <x v="3"/>
    <x v="3"/>
    <m/>
    <m/>
    <m/>
    <m/>
  </r>
  <r>
    <m/>
    <x v="3"/>
    <x v="0"/>
    <x v="0"/>
    <m/>
    <m/>
    <m/>
    <x v="0"/>
    <m/>
    <x v="0"/>
    <m/>
    <m/>
    <m/>
    <m/>
    <m/>
    <m/>
    <m/>
    <m/>
    <m/>
    <m/>
    <m/>
    <m/>
    <x v="0"/>
    <x v="0"/>
    <x v="0"/>
    <m/>
    <m/>
    <x v="0"/>
    <m/>
    <m/>
    <m/>
    <m/>
    <m/>
    <m/>
    <x v="0"/>
    <x v="0"/>
    <x v="1"/>
    <x v="2"/>
    <x v="2"/>
    <x v="2"/>
    <x v="1"/>
    <x v="1"/>
    <x v="1"/>
    <x v="2"/>
    <x v="1"/>
    <x v="3"/>
    <x v="2"/>
    <x v="1"/>
    <x v="1"/>
    <x v="1"/>
    <x v="4"/>
    <x v="2"/>
    <x v="2"/>
    <x v="2"/>
    <x v="2"/>
    <x v="3"/>
    <m/>
    <m/>
    <m/>
    <m/>
  </r>
  <r>
    <m/>
    <x v="3"/>
    <x v="2"/>
    <x v="1"/>
    <m/>
    <m/>
    <m/>
    <x v="0"/>
    <m/>
    <x v="2"/>
    <m/>
    <m/>
    <m/>
    <m/>
    <m/>
    <m/>
    <m/>
    <m/>
    <m/>
    <m/>
    <m/>
    <m/>
    <x v="0"/>
    <x v="0"/>
    <x v="0"/>
    <m/>
    <m/>
    <x v="0"/>
    <m/>
    <m/>
    <m/>
    <m/>
    <m/>
    <m/>
    <x v="1"/>
    <x v="0"/>
    <x v="2"/>
    <x v="2"/>
    <x v="4"/>
    <x v="2"/>
    <x v="3"/>
    <x v="2"/>
    <x v="2"/>
    <x v="2"/>
    <x v="2"/>
    <x v="2"/>
    <x v="1"/>
    <x v="2"/>
    <x v="2"/>
    <x v="2"/>
    <x v="4"/>
    <x v="2"/>
    <x v="2"/>
    <x v="2"/>
    <x v="2"/>
    <x v="1"/>
    <m/>
    <m/>
    <m/>
    <m/>
  </r>
  <r>
    <m/>
    <x v="3"/>
    <x v="0"/>
    <x v="0"/>
    <m/>
    <m/>
    <m/>
    <x v="1"/>
    <m/>
    <x v="2"/>
    <m/>
    <m/>
    <m/>
    <m/>
    <m/>
    <m/>
    <m/>
    <m/>
    <m/>
    <m/>
    <m/>
    <m/>
    <x v="5"/>
    <x v="6"/>
    <x v="3"/>
    <m/>
    <m/>
    <x v="0"/>
    <m/>
    <m/>
    <m/>
    <m/>
    <m/>
    <m/>
    <x v="2"/>
    <x v="0"/>
    <x v="2"/>
    <x v="3"/>
    <x v="3"/>
    <x v="3"/>
    <x v="5"/>
    <x v="4"/>
    <x v="1"/>
    <x v="3"/>
    <x v="5"/>
    <x v="5"/>
    <x v="1"/>
    <x v="0"/>
    <x v="0"/>
    <x v="2"/>
    <x v="3"/>
    <x v="3"/>
    <x v="5"/>
    <x v="4"/>
    <x v="5"/>
    <x v="4"/>
    <m/>
    <m/>
    <m/>
    <m/>
  </r>
  <r>
    <m/>
    <x v="3"/>
    <x v="4"/>
    <x v="1"/>
    <m/>
    <m/>
    <m/>
    <x v="0"/>
    <m/>
    <x v="4"/>
    <m/>
    <m/>
    <m/>
    <m/>
    <m/>
    <m/>
    <m/>
    <m/>
    <m/>
    <m/>
    <m/>
    <m/>
    <x v="2"/>
    <x v="1"/>
    <x v="0"/>
    <m/>
    <m/>
    <x v="2"/>
    <m/>
    <m/>
    <m/>
    <m/>
    <m/>
    <m/>
    <x v="0"/>
    <x v="2"/>
    <x v="1"/>
    <x v="3"/>
    <x v="4"/>
    <x v="3"/>
    <x v="3"/>
    <x v="1"/>
    <x v="2"/>
    <x v="2"/>
    <x v="2"/>
    <x v="2"/>
    <x v="1"/>
    <x v="2"/>
    <x v="2"/>
    <x v="0"/>
    <x v="2"/>
    <x v="2"/>
    <x v="2"/>
    <x v="2"/>
    <x v="4"/>
    <x v="3"/>
    <m/>
    <m/>
    <m/>
    <m/>
  </r>
  <r>
    <m/>
    <x v="3"/>
    <x v="4"/>
    <x v="0"/>
    <m/>
    <m/>
    <m/>
    <x v="1"/>
    <m/>
    <x v="0"/>
    <m/>
    <m/>
    <m/>
    <m/>
    <m/>
    <m/>
    <m/>
    <m/>
    <m/>
    <m/>
    <m/>
    <m/>
    <x v="5"/>
    <x v="0"/>
    <x v="0"/>
    <m/>
    <m/>
    <x v="0"/>
    <m/>
    <m/>
    <m/>
    <m/>
    <m/>
    <m/>
    <x v="0"/>
    <x v="0"/>
    <x v="6"/>
    <x v="3"/>
    <x v="4"/>
    <x v="3"/>
    <x v="3"/>
    <x v="1"/>
    <x v="2"/>
    <x v="2"/>
    <x v="1"/>
    <x v="2"/>
    <x v="1"/>
    <x v="1"/>
    <x v="1"/>
    <x v="1"/>
    <x v="4"/>
    <x v="3"/>
    <x v="2"/>
    <x v="2"/>
    <x v="2"/>
    <x v="6"/>
    <m/>
    <m/>
    <m/>
    <m/>
  </r>
  <r>
    <m/>
    <x v="3"/>
    <x v="4"/>
    <x v="1"/>
    <m/>
    <m/>
    <m/>
    <x v="0"/>
    <m/>
    <x v="0"/>
    <m/>
    <m/>
    <m/>
    <m/>
    <m/>
    <m/>
    <m/>
    <m/>
    <m/>
    <m/>
    <m/>
    <m/>
    <x v="5"/>
    <x v="2"/>
    <x v="0"/>
    <m/>
    <m/>
    <x v="0"/>
    <m/>
    <m/>
    <m/>
    <m/>
    <m/>
    <m/>
    <x v="0"/>
    <x v="2"/>
    <x v="2"/>
    <x v="2"/>
    <x v="2"/>
    <x v="2"/>
    <x v="1"/>
    <x v="1"/>
    <x v="1"/>
    <x v="3"/>
    <x v="1"/>
    <x v="2"/>
    <x v="1"/>
    <x v="2"/>
    <x v="2"/>
    <x v="1"/>
    <x v="4"/>
    <x v="2"/>
    <x v="2"/>
    <x v="2"/>
    <x v="3"/>
    <x v="6"/>
    <m/>
    <m/>
    <m/>
    <m/>
  </r>
  <r>
    <m/>
    <x v="3"/>
    <x v="4"/>
    <x v="1"/>
    <m/>
    <m/>
    <m/>
    <x v="0"/>
    <m/>
    <x v="0"/>
    <m/>
    <m/>
    <m/>
    <m/>
    <m/>
    <m/>
    <m/>
    <m/>
    <m/>
    <m/>
    <m/>
    <m/>
    <x v="0"/>
    <x v="0"/>
    <x v="0"/>
    <m/>
    <m/>
    <x v="0"/>
    <m/>
    <m/>
    <m/>
    <m/>
    <m/>
    <m/>
    <x v="0"/>
    <x v="0"/>
    <x v="1"/>
    <x v="2"/>
    <x v="2"/>
    <x v="2"/>
    <x v="1"/>
    <x v="1"/>
    <x v="1"/>
    <x v="3"/>
    <x v="1"/>
    <x v="2"/>
    <x v="4"/>
    <x v="1"/>
    <x v="3"/>
    <x v="5"/>
    <x v="4"/>
    <x v="2"/>
    <x v="2"/>
    <x v="2"/>
    <x v="5"/>
    <x v="1"/>
    <m/>
    <m/>
    <m/>
    <m/>
  </r>
  <r>
    <m/>
    <x v="3"/>
    <x v="4"/>
    <x v="0"/>
    <m/>
    <m/>
    <m/>
    <x v="0"/>
    <m/>
    <x v="2"/>
    <m/>
    <m/>
    <m/>
    <m/>
    <m/>
    <m/>
    <m/>
    <m/>
    <m/>
    <m/>
    <m/>
    <m/>
    <x v="0"/>
    <x v="0"/>
    <x v="0"/>
    <m/>
    <m/>
    <x v="0"/>
    <m/>
    <m/>
    <m/>
    <m/>
    <m/>
    <m/>
    <x v="0"/>
    <x v="0"/>
    <x v="2"/>
    <x v="6"/>
    <x v="2"/>
    <x v="6"/>
    <x v="1"/>
    <x v="1"/>
    <x v="1"/>
    <x v="2"/>
    <x v="1"/>
    <x v="3"/>
    <x v="2"/>
    <x v="1"/>
    <x v="2"/>
    <x v="1"/>
    <x v="2"/>
    <x v="2"/>
    <x v="2"/>
    <x v="2"/>
    <x v="2"/>
    <x v="6"/>
    <m/>
    <m/>
    <m/>
    <m/>
  </r>
  <r>
    <m/>
    <x v="3"/>
    <x v="4"/>
    <x v="1"/>
    <m/>
    <m/>
    <m/>
    <x v="0"/>
    <m/>
    <x v="6"/>
    <m/>
    <m/>
    <m/>
    <m/>
    <m/>
    <m/>
    <m/>
    <m/>
    <m/>
    <m/>
    <m/>
    <m/>
    <x v="0"/>
    <x v="0"/>
    <x v="0"/>
    <m/>
    <m/>
    <x v="0"/>
    <m/>
    <m/>
    <m/>
    <m/>
    <m/>
    <m/>
    <x v="0"/>
    <x v="0"/>
    <x v="1"/>
    <x v="2"/>
    <x v="2"/>
    <x v="2"/>
    <x v="1"/>
    <x v="1"/>
    <x v="1"/>
    <x v="2"/>
    <x v="1"/>
    <x v="3"/>
    <x v="2"/>
    <x v="1"/>
    <x v="2"/>
    <x v="1"/>
    <x v="2"/>
    <x v="2"/>
    <x v="2"/>
    <x v="2"/>
    <x v="2"/>
    <x v="6"/>
    <m/>
    <m/>
    <m/>
    <m/>
  </r>
  <r>
    <m/>
    <x v="3"/>
    <x v="4"/>
    <x v="1"/>
    <m/>
    <m/>
    <m/>
    <x v="0"/>
    <m/>
    <x v="4"/>
    <m/>
    <m/>
    <m/>
    <m/>
    <m/>
    <m/>
    <m/>
    <m/>
    <m/>
    <m/>
    <m/>
    <m/>
    <x v="0"/>
    <x v="0"/>
    <x v="1"/>
    <m/>
    <m/>
    <x v="0"/>
    <m/>
    <m/>
    <m/>
    <m/>
    <m/>
    <m/>
    <x v="0"/>
    <x v="0"/>
    <x v="1"/>
    <x v="4"/>
    <x v="2"/>
    <x v="3"/>
    <x v="1"/>
    <x v="1"/>
    <x v="1"/>
    <x v="2"/>
    <x v="1"/>
    <x v="3"/>
    <x v="1"/>
    <x v="1"/>
    <x v="2"/>
    <x v="1"/>
    <x v="6"/>
    <x v="6"/>
    <x v="6"/>
    <x v="6"/>
    <x v="5"/>
    <x v="6"/>
    <m/>
    <m/>
    <m/>
    <m/>
  </r>
  <r>
    <m/>
    <x v="3"/>
    <x v="4"/>
    <x v="1"/>
    <m/>
    <m/>
    <m/>
    <x v="1"/>
    <m/>
    <x v="2"/>
    <m/>
    <m/>
    <m/>
    <m/>
    <m/>
    <m/>
    <m/>
    <m/>
    <m/>
    <m/>
    <m/>
    <m/>
    <x v="0"/>
    <x v="0"/>
    <x v="1"/>
    <m/>
    <m/>
    <x v="1"/>
    <m/>
    <m/>
    <m/>
    <m/>
    <m/>
    <m/>
    <x v="0"/>
    <x v="0"/>
    <x v="2"/>
    <x v="3"/>
    <x v="4"/>
    <x v="3"/>
    <x v="3"/>
    <x v="2"/>
    <x v="2"/>
    <x v="3"/>
    <x v="2"/>
    <x v="2"/>
    <x v="1"/>
    <x v="2"/>
    <x v="1"/>
    <x v="2"/>
    <x v="2"/>
    <x v="2"/>
    <x v="2"/>
    <x v="2"/>
    <x v="3"/>
    <x v="6"/>
    <m/>
    <m/>
    <m/>
    <m/>
  </r>
  <r>
    <m/>
    <x v="3"/>
    <x v="4"/>
    <x v="1"/>
    <m/>
    <m/>
    <m/>
    <x v="0"/>
    <m/>
    <x v="2"/>
    <m/>
    <m/>
    <m/>
    <m/>
    <m/>
    <m/>
    <m/>
    <m/>
    <m/>
    <m/>
    <m/>
    <m/>
    <x v="2"/>
    <x v="5"/>
    <x v="1"/>
    <m/>
    <m/>
    <x v="1"/>
    <m/>
    <m/>
    <m/>
    <m/>
    <m/>
    <m/>
    <x v="1"/>
    <x v="0"/>
    <x v="2"/>
    <x v="2"/>
    <x v="4"/>
    <x v="3"/>
    <x v="1"/>
    <x v="1"/>
    <x v="1"/>
    <x v="3"/>
    <x v="1"/>
    <x v="3"/>
    <x v="1"/>
    <x v="2"/>
    <x v="1"/>
    <x v="5"/>
    <x v="4"/>
    <x v="3"/>
    <x v="3"/>
    <x v="4"/>
    <x v="3"/>
    <x v="6"/>
    <m/>
    <m/>
    <m/>
    <m/>
  </r>
  <r>
    <m/>
    <x v="3"/>
    <x v="4"/>
    <x v="0"/>
    <m/>
    <m/>
    <m/>
    <x v="0"/>
    <m/>
    <x v="4"/>
    <m/>
    <m/>
    <m/>
    <m/>
    <m/>
    <m/>
    <m/>
    <m/>
    <m/>
    <m/>
    <m/>
    <m/>
    <x v="0"/>
    <x v="0"/>
    <x v="0"/>
    <m/>
    <m/>
    <x v="0"/>
    <m/>
    <m/>
    <m/>
    <m/>
    <m/>
    <m/>
    <x v="5"/>
    <x v="5"/>
    <x v="3"/>
    <x v="2"/>
    <x v="2"/>
    <x v="2"/>
    <x v="1"/>
    <x v="1"/>
    <x v="1"/>
    <x v="6"/>
    <x v="1"/>
    <x v="2"/>
    <x v="2"/>
    <x v="1"/>
    <x v="2"/>
    <x v="1"/>
    <x v="2"/>
    <x v="2"/>
    <x v="2"/>
    <x v="2"/>
    <x v="2"/>
    <x v="0"/>
    <m/>
    <m/>
    <m/>
    <m/>
  </r>
  <r>
    <m/>
    <x v="3"/>
    <x v="4"/>
    <x v="0"/>
    <m/>
    <m/>
    <m/>
    <x v="0"/>
    <m/>
    <x v="2"/>
    <m/>
    <m/>
    <m/>
    <m/>
    <m/>
    <m/>
    <m/>
    <m/>
    <m/>
    <m/>
    <m/>
    <m/>
    <x v="0"/>
    <x v="0"/>
    <x v="0"/>
    <m/>
    <m/>
    <x v="0"/>
    <m/>
    <m/>
    <m/>
    <m/>
    <m/>
    <m/>
    <x v="0"/>
    <x v="0"/>
    <x v="1"/>
    <x v="2"/>
    <x v="2"/>
    <x v="2"/>
    <x v="1"/>
    <x v="1"/>
    <x v="1"/>
    <x v="2"/>
    <x v="1"/>
    <x v="6"/>
    <x v="2"/>
    <x v="1"/>
    <x v="2"/>
    <x v="1"/>
    <x v="2"/>
    <x v="2"/>
    <x v="2"/>
    <x v="2"/>
    <x v="2"/>
    <x v="4"/>
    <m/>
    <m/>
    <m/>
    <m/>
  </r>
  <r>
    <m/>
    <x v="3"/>
    <x v="4"/>
    <x v="1"/>
    <m/>
    <m/>
    <m/>
    <x v="0"/>
    <m/>
    <x v="6"/>
    <m/>
    <m/>
    <m/>
    <m/>
    <m/>
    <m/>
    <m/>
    <m/>
    <m/>
    <m/>
    <m/>
    <m/>
    <x v="3"/>
    <x v="0"/>
    <x v="0"/>
    <m/>
    <m/>
    <x v="0"/>
    <m/>
    <m/>
    <m/>
    <m/>
    <m/>
    <m/>
    <x v="0"/>
    <x v="0"/>
    <x v="5"/>
    <x v="2"/>
    <x v="2"/>
    <x v="4"/>
    <x v="1"/>
    <x v="6"/>
    <x v="1"/>
    <x v="2"/>
    <x v="1"/>
    <x v="3"/>
    <x v="2"/>
    <x v="6"/>
    <x v="2"/>
    <x v="1"/>
    <x v="2"/>
    <x v="2"/>
    <x v="2"/>
    <x v="2"/>
    <x v="4"/>
    <x v="6"/>
    <m/>
    <m/>
    <m/>
    <m/>
  </r>
  <r>
    <m/>
    <x v="3"/>
    <x v="4"/>
    <x v="1"/>
    <m/>
    <m/>
    <m/>
    <x v="0"/>
    <m/>
    <x v="0"/>
    <m/>
    <m/>
    <m/>
    <m/>
    <m/>
    <m/>
    <m/>
    <m/>
    <m/>
    <m/>
    <m/>
    <m/>
    <x v="0"/>
    <x v="0"/>
    <x v="0"/>
    <m/>
    <m/>
    <x v="0"/>
    <m/>
    <m/>
    <m/>
    <m/>
    <m/>
    <m/>
    <x v="0"/>
    <x v="0"/>
    <x v="1"/>
    <x v="2"/>
    <x v="2"/>
    <x v="2"/>
    <x v="1"/>
    <x v="1"/>
    <x v="1"/>
    <x v="2"/>
    <x v="1"/>
    <x v="3"/>
    <x v="2"/>
    <x v="1"/>
    <x v="2"/>
    <x v="1"/>
    <x v="2"/>
    <x v="2"/>
    <x v="2"/>
    <x v="2"/>
    <x v="2"/>
    <x v="1"/>
    <m/>
    <m/>
    <m/>
    <m/>
  </r>
  <r>
    <m/>
    <x v="3"/>
    <x v="2"/>
    <x v="1"/>
    <m/>
    <m/>
    <m/>
    <x v="1"/>
    <m/>
    <x v="2"/>
    <m/>
    <m/>
    <m/>
    <m/>
    <m/>
    <m/>
    <m/>
    <m/>
    <m/>
    <m/>
    <m/>
    <m/>
    <x v="0"/>
    <x v="0"/>
    <x v="0"/>
    <m/>
    <m/>
    <x v="0"/>
    <m/>
    <m/>
    <m/>
    <m/>
    <m/>
    <m/>
    <x v="1"/>
    <x v="2"/>
    <x v="2"/>
    <x v="3"/>
    <x v="2"/>
    <x v="3"/>
    <x v="3"/>
    <x v="1"/>
    <x v="1"/>
    <x v="2"/>
    <x v="2"/>
    <x v="2"/>
    <x v="1"/>
    <x v="2"/>
    <x v="2"/>
    <x v="2"/>
    <x v="4"/>
    <x v="2"/>
    <x v="3"/>
    <x v="4"/>
    <x v="3"/>
    <x v="3"/>
    <m/>
    <m/>
    <m/>
    <m/>
  </r>
  <r>
    <m/>
    <x v="3"/>
    <x v="3"/>
    <x v="0"/>
    <m/>
    <m/>
    <m/>
    <x v="2"/>
    <m/>
    <x v="2"/>
    <m/>
    <m/>
    <m/>
    <m/>
    <m/>
    <m/>
    <m/>
    <m/>
    <m/>
    <m/>
    <m/>
    <m/>
    <x v="2"/>
    <x v="5"/>
    <x v="2"/>
    <m/>
    <m/>
    <x v="1"/>
    <m/>
    <m/>
    <m/>
    <m/>
    <m/>
    <m/>
    <x v="1"/>
    <x v="2"/>
    <x v="2"/>
    <x v="5"/>
    <x v="3"/>
    <x v="3"/>
    <x v="5"/>
    <x v="2"/>
    <x v="2"/>
    <x v="6"/>
    <x v="2"/>
    <x v="1"/>
    <x v="1"/>
    <x v="4"/>
    <x v="3"/>
    <x v="1"/>
    <x v="1"/>
    <x v="5"/>
    <x v="4"/>
    <x v="4"/>
    <x v="4"/>
    <x v="6"/>
    <m/>
    <m/>
    <m/>
    <m/>
  </r>
  <r>
    <m/>
    <x v="3"/>
    <x v="3"/>
    <x v="0"/>
    <m/>
    <m/>
    <m/>
    <x v="0"/>
    <m/>
    <x v="0"/>
    <m/>
    <m/>
    <m/>
    <m/>
    <m/>
    <m/>
    <m/>
    <m/>
    <m/>
    <m/>
    <m/>
    <m/>
    <x v="0"/>
    <x v="0"/>
    <x v="0"/>
    <m/>
    <m/>
    <x v="0"/>
    <m/>
    <m/>
    <m/>
    <m/>
    <m/>
    <m/>
    <x v="0"/>
    <x v="0"/>
    <x v="1"/>
    <x v="2"/>
    <x v="2"/>
    <x v="2"/>
    <x v="1"/>
    <x v="1"/>
    <x v="1"/>
    <x v="2"/>
    <x v="2"/>
    <x v="3"/>
    <x v="2"/>
    <x v="1"/>
    <x v="1"/>
    <x v="1"/>
    <x v="4"/>
    <x v="3"/>
    <x v="3"/>
    <x v="2"/>
    <x v="2"/>
    <x v="1"/>
    <m/>
    <m/>
    <m/>
    <m/>
  </r>
  <r>
    <m/>
    <x v="3"/>
    <x v="3"/>
    <x v="0"/>
    <m/>
    <m/>
    <m/>
    <x v="4"/>
    <m/>
    <x v="2"/>
    <m/>
    <m/>
    <m/>
    <m/>
    <m/>
    <m/>
    <m/>
    <m/>
    <m/>
    <m/>
    <m/>
    <m/>
    <x v="2"/>
    <x v="5"/>
    <x v="1"/>
    <m/>
    <m/>
    <x v="1"/>
    <m/>
    <m/>
    <m/>
    <m/>
    <m/>
    <m/>
    <x v="0"/>
    <x v="0"/>
    <x v="1"/>
    <x v="3"/>
    <x v="3"/>
    <x v="3"/>
    <x v="3"/>
    <x v="2"/>
    <x v="2"/>
    <x v="3"/>
    <x v="2"/>
    <x v="2"/>
    <x v="1"/>
    <x v="2"/>
    <x v="1"/>
    <x v="2"/>
    <x v="4"/>
    <x v="3"/>
    <x v="3"/>
    <x v="4"/>
    <x v="3"/>
    <x v="3"/>
    <m/>
    <m/>
    <m/>
    <m/>
  </r>
  <r>
    <m/>
    <x v="3"/>
    <x v="3"/>
    <x v="0"/>
    <m/>
    <m/>
    <m/>
    <x v="1"/>
    <m/>
    <x v="2"/>
    <m/>
    <m/>
    <m/>
    <m/>
    <m/>
    <m/>
    <m/>
    <m/>
    <m/>
    <m/>
    <m/>
    <m/>
    <x v="0"/>
    <x v="0"/>
    <x v="1"/>
    <m/>
    <m/>
    <x v="0"/>
    <m/>
    <m/>
    <m/>
    <m/>
    <m/>
    <m/>
    <x v="0"/>
    <x v="0"/>
    <x v="2"/>
    <x v="2"/>
    <x v="4"/>
    <x v="2"/>
    <x v="1"/>
    <x v="1"/>
    <x v="2"/>
    <x v="2"/>
    <x v="1"/>
    <x v="6"/>
    <x v="2"/>
    <x v="1"/>
    <x v="2"/>
    <x v="2"/>
    <x v="4"/>
    <x v="3"/>
    <x v="2"/>
    <x v="2"/>
    <x v="3"/>
    <x v="3"/>
    <m/>
    <m/>
    <m/>
    <m/>
  </r>
  <r>
    <m/>
    <x v="3"/>
    <x v="3"/>
    <x v="0"/>
    <m/>
    <m/>
    <m/>
    <x v="0"/>
    <m/>
    <x v="2"/>
    <m/>
    <m/>
    <m/>
    <m/>
    <m/>
    <m/>
    <m/>
    <m/>
    <m/>
    <m/>
    <m/>
    <m/>
    <x v="0"/>
    <x v="0"/>
    <x v="0"/>
    <m/>
    <m/>
    <x v="0"/>
    <m/>
    <m/>
    <m/>
    <m/>
    <m/>
    <m/>
    <x v="0"/>
    <x v="0"/>
    <x v="1"/>
    <x v="3"/>
    <x v="4"/>
    <x v="3"/>
    <x v="1"/>
    <x v="1"/>
    <x v="1"/>
    <x v="6"/>
    <x v="1"/>
    <x v="2"/>
    <x v="2"/>
    <x v="5"/>
    <x v="2"/>
    <x v="5"/>
    <x v="4"/>
    <x v="2"/>
    <x v="2"/>
    <x v="2"/>
    <x v="2"/>
    <x v="6"/>
    <m/>
    <m/>
    <m/>
    <m/>
  </r>
  <r>
    <m/>
    <x v="3"/>
    <x v="0"/>
    <x v="1"/>
    <m/>
    <m/>
    <m/>
    <x v="5"/>
    <m/>
    <x v="2"/>
    <m/>
    <m/>
    <m/>
    <m/>
    <m/>
    <m/>
    <m/>
    <m/>
    <m/>
    <m/>
    <m/>
    <m/>
    <x v="6"/>
    <x v="5"/>
    <x v="3"/>
    <m/>
    <m/>
    <x v="0"/>
    <m/>
    <m/>
    <m/>
    <m/>
    <m/>
    <m/>
    <x v="4"/>
    <x v="1"/>
    <x v="2"/>
    <x v="3"/>
    <x v="3"/>
    <x v="3"/>
    <x v="3"/>
    <x v="2"/>
    <x v="5"/>
    <x v="6"/>
    <x v="3"/>
    <x v="3"/>
    <x v="6"/>
    <x v="6"/>
    <x v="3"/>
    <x v="6"/>
    <x v="2"/>
    <x v="3"/>
    <x v="2"/>
    <x v="2"/>
    <x v="3"/>
    <x v="3"/>
    <m/>
    <m/>
    <m/>
    <m/>
  </r>
  <r>
    <m/>
    <x v="3"/>
    <x v="4"/>
    <x v="0"/>
    <m/>
    <m/>
    <m/>
    <x v="0"/>
    <m/>
    <x v="2"/>
    <m/>
    <m/>
    <m/>
    <m/>
    <m/>
    <m/>
    <m/>
    <m/>
    <m/>
    <m/>
    <m/>
    <m/>
    <x v="0"/>
    <x v="0"/>
    <x v="0"/>
    <m/>
    <m/>
    <x v="0"/>
    <m/>
    <m/>
    <m/>
    <m/>
    <m/>
    <m/>
    <x v="0"/>
    <x v="0"/>
    <x v="2"/>
    <x v="3"/>
    <x v="4"/>
    <x v="2"/>
    <x v="3"/>
    <x v="1"/>
    <x v="1"/>
    <x v="2"/>
    <x v="1"/>
    <x v="2"/>
    <x v="2"/>
    <x v="1"/>
    <x v="1"/>
    <x v="1"/>
    <x v="4"/>
    <x v="2"/>
    <x v="2"/>
    <x v="2"/>
    <x v="2"/>
    <x v="1"/>
    <m/>
    <m/>
    <m/>
    <m/>
  </r>
  <r>
    <m/>
    <x v="3"/>
    <x v="4"/>
    <x v="1"/>
    <m/>
    <m/>
    <m/>
    <x v="0"/>
    <m/>
    <x v="6"/>
    <m/>
    <m/>
    <m/>
    <m/>
    <m/>
    <m/>
    <m/>
    <m/>
    <m/>
    <m/>
    <m/>
    <m/>
    <x v="0"/>
    <x v="0"/>
    <x v="0"/>
    <m/>
    <m/>
    <x v="0"/>
    <m/>
    <m/>
    <m/>
    <m/>
    <m/>
    <m/>
    <x v="0"/>
    <x v="6"/>
    <x v="1"/>
    <x v="2"/>
    <x v="2"/>
    <x v="2"/>
    <x v="1"/>
    <x v="1"/>
    <x v="1"/>
    <x v="2"/>
    <x v="1"/>
    <x v="3"/>
    <x v="2"/>
    <x v="1"/>
    <x v="2"/>
    <x v="1"/>
    <x v="2"/>
    <x v="2"/>
    <x v="2"/>
    <x v="2"/>
    <x v="2"/>
    <x v="6"/>
    <m/>
    <m/>
    <m/>
    <m/>
  </r>
  <r>
    <m/>
    <x v="3"/>
    <x v="0"/>
    <x v="0"/>
    <m/>
    <m/>
    <m/>
    <x v="0"/>
    <m/>
    <x v="2"/>
    <m/>
    <m/>
    <m/>
    <m/>
    <m/>
    <m/>
    <m/>
    <m/>
    <m/>
    <m/>
    <m/>
    <m/>
    <x v="0"/>
    <x v="0"/>
    <x v="0"/>
    <m/>
    <m/>
    <x v="1"/>
    <m/>
    <m/>
    <m/>
    <m/>
    <m/>
    <m/>
    <x v="1"/>
    <x v="2"/>
    <x v="1"/>
    <x v="3"/>
    <x v="6"/>
    <x v="3"/>
    <x v="3"/>
    <x v="2"/>
    <x v="2"/>
    <x v="3"/>
    <x v="2"/>
    <x v="6"/>
    <x v="6"/>
    <x v="1"/>
    <x v="3"/>
    <x v="1"/>
    <x v="4"/>
    <x v="3"/>
    <x v="2"/>
    <x v="4"/>
    <x v="3"/>
    <x v="3"/>
    <m/>
    <m/>
    <m/>
    <m/>
  </r>
  <r>
    <m/>
    <x v="3"/>
    <x v="0"/>
    <x v="1"/>
    <m/>
    <m/>
    <m/>
    <x v="0"/>
    <m/>
    <x v="0"/>
    <m/>
    <m/>
    <m/>
    <m/>
    <m/>
    <m/>
    <m/>
    <m/>
    <m/>
    <m/>
    <m/>
    <m/>
    <x v="3"/>
    <x v="0"/>
    <x v="0"/>
    <m/>
    <m/>
    <x v="0"/>
    <m/>
    <m/>
    <m/>
    <m/>
    <m/>
    <m/>
    <x v="0"/>
    <x v="0"/>
    <x v="1"/>
    <x v="2"/>
    <x v="4"/>
    <x v="2"/>
    <x v="1"/>
    <x v="1"/>
    <x v="1"/>
    <x v="2"/>
    <x v="1"/>
    <x v="3"/>
    <x v="1"/>
    <x v="1"/>
    <x v="1"/>
    <x v="1"/>
    <x v="2"/>
    <x v="2"/>
    <x v="2"/>
    <x v="2"/>
    <x v="3"/>
    <x v="1"/>
    <m/>
    <m/>
    <m/>
    <m/>
  </r>
  <r>
    <m/>
    <x v="3"/>
    <x v="4"/>
    <x v="1"/>
    <m/>
    <m/>
    <m/>
    <x v="0"/>
    <m/>
    <x v="6"/>
    <m/>
    <m/>
    <m/>
    <m/>
    <m/>
    <m/>
    <m/>
    <m/>
    <m/>
    <m/>
    <m/>
    <m/>
    <x v="0"/>
    <x v="0"/>
    <x v="0"/>
    <m/>
    <m/>
    <x v="0"/>
    <m/>
    <m/>
    <m/>
    <m/>
    <m/>
    <m/>
    <x v="0"/>
    <x v="1"/>
    <x v="1"/>
    <x v="3"/>
    <x v="2"/>
    <x v="2"/>
    <x v="3"/>
    <x v="1"/>
    <x v="1"/>
    <x v="2"/>
    <x v="1"/>
    <x v="6"/>
    <x v="6"/>
    <x v="1"/>
    <x v="1"/>
    <x v="1"/>
    <x v="6"/>
    <x v="2"/>
    <x v="6"/>
    <x v="6"/>
    <x v="3"/>
    <x v="1"/>
    <m/>
    <m/>
    <m/>
    <m/>
  </r>
  <r>
    <m/>
    <x v="3"/>
    <x v="0"/>
    <x v="1"/>
    <m/>
    <m/>
    <m/>
    <x v="1"/>
    <m/>
    <x v="2"/>
    <m/>
    <m/>
    <m/>
    <m/>
    <m/>
    <m/>
    <m/>
    <m/>
    <m/>
    <m/>
    <m/>
    <m/>
    <x v="0"/>
    <x v="0"/>
    <x v="0"/>
    <m/>
    <m/>
    <x v="0"/>
    <m/>
    <m/>
    <m/>
    <m/>
    <m/>
    <m/>
    <x v="0"/>
    <x v="0"/>
    <x v="2"/>
    <x v="2"/>
    <x v="6"/>
    <x v="2"/>
    <x v="1"/>
    <x v="1"/>
    <x v="1"/>
    <x v="3"/>
    <x v="2"/>
    <x v="2"/>
    <x v="1"/>
    <x v="1"/>
    <x v="1"/>
    <x v="1"/>
    <x v="4"/>
    <x v="2"/>
    <x v="3"/>
    <x v="2"/>
    <x v="4"/>
    <x v="3"/>
    <m/>
    <m/>
    <m/>
    <m/>
  </r>
  <r>
    <m/>
    <x v="3"/>
    <x v="4"/>
    <x v="1"/>
    <m/>
    <m/>
    <m/>
    <x v="0"/>
    <m/>
    <x v="0"/>
    <m/>
    <m/>
    <m/>
    <m/>
    <m/>
    <m/>
    <m/>
    <m/>
    <m/>
    <m/>
    <m/>
    <m/>
    <x v="0"/>
    <x v="0"/>
    <x v="0"/>
    <m/>
    <m/>
    <x v="0"/>
    <m/>
    <m/>
    <m/>
    <m/>
    <m/>
    <m/>
    <x v="0"/>
    <x v="0"/>
    <x v="1"/>
    <x v="2"/>
    <x v="2"/>
    <x v="2"/>
    <x v="1"/>
    <x v="1"/>
    <x v="1"/>
    <x v="2"/>
    <x v="1"/>
    <x v="2"/>
    <x v="1"/>
    <x v="1"/>
    <x v="1"/>
    <x v="1"/>
    <x v="2"/>
    <x v="2"/>
    <x v="2"/>
    <x v="2"/>
    <x v="2"/>
    <x v="1"/>
    <m/>
    <m/>
    <m/>
    <m/>
  </r>
  <r>
    <m/>
    <x v="3"/>
    <x v="0"/>
    <x v="1"/>
    <m/>
    <m/>
    <m/>
    <x v="4"/>
    <m/>
    <x v="5"/>
    <m/>
    <m/>
    <m/>
    <m/>
    <m/>
    <m/>
    <m/>
    <m/>
    <m/>
    <m/>
    <m/>
    <m/>
    <x v="0"/>
    <x v="4"/>
    <x v="5"/>
    <m/>
    <m/>
    <x v="2"/>
    <m/>
    <m/>
    <m/>
    <m/>
    <m/>
    <m/>
    <x v="5"/>
    <x v="5"/>
    <x v="1"/>
    <x v="0"/>
    <x v="0"/>
    <x v="2"/>
    <x v="0"/>
    <x v="0"/>
    <x v="0"/>
    <x v="0"/>
    <x v="0"/>
    <x v="3"/>
    <x v="0"/>
    <x v="0"/>
    <x v="0"/>
    <x v="0"/>
    <x v="2"/>
    <x v="0"/>
    <x v="0"/>
    <x v="0"/>
    <x v="2"/>
    <x v="1"/>
    <m/>
    <m/>
    <m/>
    <m/>
  </r>
  <r>
    <m/>
    <x v="3"/>
    <x v="4"/>
    <x v="1"/>
    <m/>
    <m/>
    <m/>
    <x v="0"/>
    <m/>
    <x v="2"/>
    <m/>
    <m/>
    <m/>
    <m/>
    <m/>
    <m/>
    <m/>
    <m/>
    <m/>
    <m/>
    <m/>
    <m/>
    <x v="0"/>
    <x v="0"/>
    <x v="0"/>
    <m/>
    <m/>
    <x v="0"/>
    <m/>
    <m/>
    <m/>
    <m/>
    <m/>
    <m/>
    <x v="0"/>
    <x v="0"/>
    <x v="1"/>
    <x v="2"/>
    <x v="2"/>
    <x v="3"/>
    <x v="1"/>
    <x v="1"/>
    <x v="1"/>
    <x v="2"/>
    <x v="1"/>
    <x v="2"/>
    <x v="2"/>
    <x v="1"/>
    <x v="1"/>
    <x v="2"/>
    <x v="4"/>
    <x v="2"/>
    <x v="2"/>
    <x v="2"/>
    <x v="3"/>
    <x v="1"/>
    <m/>
    <m/>
    <m/>
    <m/>
  </r>
  <r>
    <m/>
    <x v="3"/>
    <x v="4"/>
    <x v="0"/>
    <m/>
    <m/>
    <m/>
    <x v="0"/>
    <m/>
    <x v="0"/>
    <m/>
    <m/>
    <m/>
    <m/>
    <m/>
    <m/>
    <m/>
    <m/>
    <m/>
    <m/>
    <m/>
    <m/>
    <x v="0"/>
    <x v="0"/>
    <x v="0"/>
    <m/>
    <m/>
    <x v="0"/>
    <m/>
    <m/>
    <m/>
    <m/>
    <m/>
    <m/>
    <x v="0"/>
    <x v="0"/>
    <x v="0"/>
    <x v="2"/>
    <x v="2"/>
    <x v="2"/>
    <x v="1"/>
    <x v="6"/>
    <x v="1"/>
    <x v="2"/>
    <x v="1"/>
    <x v="3"/>
    <x v="2"/>
    <x v="6"/>
    <x v="2"/>
    <x v="5"/>
    <x v="2"/>
    <x v="2"/>
    <x v="2"/>
    <x v="2"/>
    <x v="2"/>
    <x v="6"/>
    <m/>
    <m/>
    <m/>
    <m/>
  </r>
  <r>
    <m/>
    <x v="3"/>
    <x v="4"/>
    <x v="0"/>
    <m/>
    <m/>
    <m/>
    <x v="0"/>
    <m/>
    <x v="0"/>
    <m/>
    <m/>
    <m/>
    <m/>
    <m/>
    <m/>
    <m/>
    <m/>
    <m/>
    <m/>
    <m/>
    <m/>
    <x v="0"/>
    <x v="0"/>
    <x v="0"/>
    <m/>
    <m/>
    <x v="6"/>
    <m/>
    <m/>
    <m/>
    <m/>
    <m/>
    <m/>
    <x v="0"/>
    <x v="6"/>
    <x v="2"/>
    <x v="2"/>
    <x v="2"/>
    <x v="2"/>
    <x v="1"/>
    <x v="1"/>
    <x v="1"/>
    <x v="2"/>
    <x v="1"/>
    <x v="2"/>
    <x v="1"/>
    <x v="1"/>
    <x v="1"/>
    <x v="1"/>
    <x v="2"/>
    <x v="2"/>
    <x v="2"/>
    <x v="2"/>
    <x v="3"/>
    <x v="6"/>
    <m/>
    <m/>
    <m/>
    <m/>
  </r>
  <r>
    <m/>
    <x v="3"/>
    <x v="4"/>
    <x v="1"/>
    <m/>
    <m/>
    <m/>
    <x v="1"/>
    <m/>
    <x v="0"/>
    <m/>
    <m/>
    <m/>
    <m/>
    <m/>
    <m/>
    <m/>
    <m/>
    <m/>
    <m/>
    <m/>
    <m/>
    <x v="5"/>
    <x v="0"/>
    <x v="1"/>
    <m/>
    <m/>
    <x v="0"/>
    <m/>
    <m/>
    <m/>
    <m/>
    <m/>
    <m/>
    <x v="6"/>
    <x v="6"/>
    <x v="1"/>
    <x v="3"/>
    <x v="2"/>
    <x v="2"/>
    <x v="1"/>
    <x v="1"/>
    <x v="2"/>
    <x v="2"/>
    <x v="1"/>
    <x v="2"/>
    <x v="2"/>
    <x v="1"/>
    <x v="1"/>
    <x v="1"/>
    <x v="6"/>
    <x v="6"/>
    <x v="6"/>
    <x v="6"/>
    <x v="6"/>
    <x v="6"/>
    <m/>
    <m/>
    <m/>
    <m/>
  </r>
  <r>
    <m/>
    <x v="3"/>
    <x v="0"/>
    <x v="1"/>
    <m/>
    <m/>
    <m/>
    <x v="0"/>
    <m/>
    <x v="0"/>
    <m/>
    <m/>
    <m/>
    <m/>
    <m/>
    <m/>
    <m/>
    <m/>
    <m/>
    <m/>
    <m/>
    <m/>
    <x v="0"/>
    <x v="0"/>
    <x v="0"/>
    <m/>
    <m/>
    <x v="0"/>
    <m/>
    <m/>
    <m/>
    <m/>
    <m/>
    <m/>
    <x v="6"/>
    <x v="0"/>
    <x v="1"/>
    <x v="2"/>
    <x v="2"/>
    <x v="2"/>
    <x v="1"/>
    <x v="1"/>
    <x v="1"/>
    <x v="2"/>
    <x v="1"/>
    <x v="3"/>
    <x v="2"/>
    <x v="1"/>
    <x v="2"/>
    <x v="1"/>
    <x v="2"/>
    <x v="2"/>
    <x v="2"/>
    <x v="2"/>
    <x v="2"/>
    <x v="1"/>
    <m/>
    <m/>
    <m/>
    <m/>
  </r>
  <r>
    <m/>
    <x v="3"/>
    <x v="4"/>
    <x v="1"/>
    <m/>
    <m/>
    <m/>
    <x v="0"/>
    <m/>
    <x v="0"/>
    <m/>
    <m/>
    <m/>
    <m/>
    <m/>
    <m/>
    <m/>
    <m/>
    <m/>
    <m/>
    <m/>
    <m/>
    <x v="0"/>
    <x v="0"/>
    <x v="0"/>
    <m/>
    <m/>
    <x v="0"/>
    <m/>
    <m/>
    <m/>
    <m/>
    <m/>
    <m/>
    <x v="0"/>
    <x v="0"/>
    <x v="1"/>
    <x v="2"/>
    <x v="2"/>
    <x v="2"/>
    <x v="3"/>
    <x v="6"/>
    <x v="1"/>
    <x v="2"/>
    <x v="1"/>
    <x v="3"/>
    <x v="2"/>
    <x v="1"/>
    <x v="2"/>
    <x v="1"/>
    <x v="2"/>
    <x v="2"/>
    <x v="2"/>
    <x v="2"/>
    <x v="2"/>
    <x v="6"/>
    <m/>
    <m/>
    <m/>
    <m/>
  </r>
  <r>
    <m/>
    <x v="3"/>
    <x v="4"/>
    <x v="0"/>
    <m/>
    <m/>
    <m/>
    <x v="0"/>
    <m/>
    <x v="0"/>
    <m/>
    <m/>
    <m/>
    <m/>
    <m/>
    <m/>
    <m/>
    <m/>
    <m/>
    <m/>
    <m/>
    <m/>
    <x v="0"/>
    <x v="0"/>
    <x v="0"/>
    <m/>
    <m/>
    <x v="0"/>
    <m/>
    <m/>
    <m/>
    <m/>
    <m/>
    <m/>
    <x v="0"/>
    <x v="2"/>
    <x v="1"/>
    <x v="2"/>
    <x v="2"/>
    <x v="2"/>
    <x v="1"/>
    <x v="1"/>
    <x v="1"/>
    <x v="2"/>
    <x v="2"/>
    <x v="3"/>
    <x v="1"/>
    <x v="1"/>
    <x v="1"/>
    <x v="1"/>
    <x v="2"/>
    <x v="2"/>
    <x v="6"/>
    <x v="6"/>
    <x v="3"/>
    <x v="1"/>
    <m/>
    <m/>
    <m/>
    <m/>
  </r>
  <r>
    <m/>
    <x v="3"/>
    <x v="4"/>
    <x v="1"/>
    <m/>
    <m/>
    <m/>
    <x v="1"/>
    <m/>
    <x v="2"/>
    <m/>
    <m/>
    <m/>
    <m/>
    <m/>
    <m/>
    <m/>
    <m/>
    <m/>
    <m/>
    <m/>
    <m/>
    <x v="2"/>
    <x v="0"/>
    <x v="1"/>
    <m/>
    <m/>
    <x v="1"/>
    <m/>
    <m/>
    <m/>
    <m/>
    <m/>
    <m/>
    <x v="1"/>
    <x v="2"/>
    <x v="2"/>
    <x v="3"/>
    <x v="4"/>
    <x v="3"/>
    <x v="3"/>
    <x v="2"/>
    <x v="2"/>
    <x v="3"/>
    <x v="2"/>
    <x v="2"/>
    <x v="1"/>
    <x v="2"/>
    <x v="1"/>
    <x v="2"/>
    <x v="4"/>
    <x v="3"/>
    <x v="3"/>
    <x v="4"/>
    <x v="3"/>
    <x v="3"/>
    <m/>
    <m/>
    <m/>
    <m/>
  </r>
  <r>
    <m/>
    <x v="3"/>
    <x v="4"/>
    <x v="1"/>
    <m/>
    <m/>
    <m/>
    <x v="1"/>
    <m/>
    <x v="6"/>
    <m/>
    <m/>
    <m/>
    <m/>
    <m/>
    <m/>
    <m/>
    <m/>
    <m/>
    <m/>
    <m/>
    <m/>
    <x v="0"/>
    <x v="0"/>
    <x v="3"/>
    <m/>
    <m/>
    <x v="1"/>
    <m/>
    <m/>
    <m/>
    <m/>
    <m/>
    <m/>
    <x v="4"/>
    <x v="1"/>
    <x v="6"/>
    <x v="6"/>
    <x v="3"/>
    <x v="3"/>
    <x v="3"/>
    <x v="4"/>
    <x v="5"/>
    <x v="4"/>
    <x v="3"/>
    <x v="5"/>
    <x v="5"/>
    <x v="5"/>
    <x v="4"/>
    <x v="5"/>
    <x v="4"/>
    <x v="4"/>
    <x v="5"/>
    <x v="6"/>
    <x v="5"/>
    <x v="3"/>
    <m/>
    <m/>
    <m/>
    <m/>
  </r>
  <r>
    <m/>
    <x v="3"/>
    <x v="4"/>
    <x v="0"/>
    <m/>
    <m/>
    <m/>
    <x v="0"/>
    <m/>
    <x v="0"/>
    <m/>
    <m/>
    <m/>
    <m/>
    <m/>
    <m/>
    <m/>
    <m/>
    <m/>
    <m/>
    <m/>
    <m/>
    <x v="0"/>
    <x v="0"/>
    <x v="0"/>
    <m/>
    <m/>
    <x v="0"/>
    <m/>
    <m/>
    <m/>
    <m/>
    <m/>
    <m/>
    <x v="0"/>
    <x v="0"/>
    <x v="1"/>
    <x v="2"/>
    <x v="2"/>
    <x v="2"/>
    <x v="1"/>
    <x v="1"/>
    <x v="1"/>
    <x v="2"/>
    <x v="2"/>
    <x v="3"/>
    <x v="2"/>
    <x v="1"/>
    <x v="1"/>
    <x v="1"/>
    <x v="6"/>
    <x v="6"/>
    <x v="5"/>
    <x v="2"/>
    <x v="3"/>
    <x v="1"/>
    <m/>
    <m/>
    <m/>
    <m/>
  </r>
  <r>
    <m/>
    <x v="3"/>
    <x v="0"/>
    <x v="1"/>
    <m/>
    <m/>
    <m/>
    <x v="5"/>
    <m/>
    <x v="0"/>
    <m/>
    <m/>
    <m/>
    <m/>
    <m/>
    <m/>
    <m/>
    <m/>
    <m/>
    <m/>
    <m/>
    <m/>
    <x v="0"/>
    <x v="0"/>
    <x v="3"/>
    <m/>
    <m/>
    <x v="0"/>
    <m/>
    <m/>
    <m/>
    <m/>
    <m/>
    <m/>
    <x v="2"/>
    <x v="2"/>
    <x v="6"/>
    <x v="3"/>
    <x v="4"/>
    <x v="6"/>
    <x v="1"/>
    <x v="6"/>
    <x v="3"/>
    <x v="3"/>
    <x v="3"/>
    <x v="2"/>
    <x v="1"/>
    <x v="5"/>
    <x v="4"/>
    <x v="4"/>
    <x v="3"/>
    <x v="4"/>
    <x v="3"/>
    <x v="4"/>
    <x v="3"/>
    <x v="1"/>
    <m/>
    <m/>
    <m/>
    <m/>
  </r>
  <r>
    <m/>
    <x v="3"/>
    <x v="4"/>
    <x v="1"/>
    <m/>
    <m/>
    <m/>
    <x v="0"/>
    <m/>
    <x v="0"/>
    <m/>
    <m/>
    <m/>
    <m/>
    <m/>
    <m/>
    <m/>
    <m/>
    <m/>
    <m/>
    <m/>
    <m/>
    <x v="0"/>
    <x v="0"/>
    <x v="1"/>
    <m/>
    <m/>
    <x v="0"/>
    <m/>
    <m/>
    <m/>
    <m/>
    <m/>
    <m/>
    <x v="0"/>
    <x v="0"/>
    <x v="1"/>
    <x v="2"/>
    <x v="2"/>
    <x v="2"/>
    <x v="1"/>
    <x v="1"/>
    <x v="1"/>
    <x v="2"/>
    <x v="1"/>
    <x v="3"/>
    <x v="2"/>
    <x v="1"/>
    <x v="2"/>
    <x v="1"/>
    <x v="4"/>
    <x v="2"/>
    <x v="3"/>
    <x v="2"/>
    <x v="5"/>
    <x v="1"/>
    <m/>
    <m/>
    <m/>
    <m/>
  </r>
  <r>
    <m/>
    <x v="3"/>
    <x v="4"/>
    <x v="0"/>
    <m/>
    <m/>
    <m/>
    <x v="0"/>
    <m/>
    <x v="0"/>
    <m/>
    <m/>
    <m/>
    <m/>
    <m/>
    <m/>
    <m/>
    <m/>
    <m/>
    <m/>
    <m/>
    <m/>
    <x v="5"/>
    <x v="2"/>
    <x v="3"/>
    <m/>
    <m/>
    <x v="0"/>
    <m/>
    <m/>
    <m/>
    <m/>
    <m/>
    <m/>
    <x v="0"/>
    <x v="0"/>
    <x v="1"/>
    <x v="2"/>
    <x v="2"/>
    <x v="2"/>
    <x v="1"/>
    <x v="1"/>
    <x v="1"/>
    <x v="2"/>
    <x v="3"/>
    <x v="3"/>
    <x v="2"/>
    <x v="1"/>
    <x v="2"/>
    <x v="1"/>
    <x v="3"/>
    <x v="4"/>
    <x v="5"/>
    <x v="2"/>
    <x v="4"/>
    <x v="1"/>
    <m/>
    <m/>
    <m/>
    <m/>
  </r>
  <r>
    <m/>
    <x v="3"/>
    <x v="4"/>
    <x v="0"/>
    <m/>
    <m/>
    <m/>
    <x v="0"/>
    <m/>
    <x v="0"/>
    <m/>
    <m/>
    <m/>
    <m/>
    <m/>
    <m/>
    <m/>
    <m/>
    <m/>
    <m/>
    <m/>
    <m/>
    <x v="0"/>
    <x v="0"/>
    <x v="0"/>
    <m/>
    <m/>
    <x v="0"/>
    <m/>
    <m/>
    <m/>
    <m/>
    <m/>
    <m/>
    <x v="0"/>
    <x v="0"/>
    <x v="1"/>
    <x v="2"/>
    <x v="2"/>
    <x v="2"/>
    <x v="1"/>
    <x v="1"/>
    <x v="1"/>
    <x v="2"/>
    <x v="1"/>
    <x v="3"/>
    <x v="2"/>
    <x v="1"/>
    <x v="3"/>
    <x v="1"/>
    <x v="3"/>
    <x v="5"/>
    <x v="5"/>
    <x v="2"/>
    <x v="5"/>
    <x v="1"/>
    <m/>
    <m/>
    <m/>
    <m/>
  </r>
  <r>
    <m/>
    <x v="3"/>
    <x v="2"/>
    <x v="1"/>
    <m/>
    <m/>
    <m/>
    <x v="0"/>
    <m/>
    <x v="1"/>
    <m/>
    <m/>
    <m/>
    <m/>
    <m/>
    <m/>
    <m/>
    <m/>
    <m/>
    <m/>
    <m/>
    <m/>
    <x v="0"/>
    <x v="1"/>
    <x v="1"/>
    <m/>
    <m/>
    <x v="1"/>
    <m/>
    <m/>
    <m/>
    <m/>
    <m/>
    <m/>
    <x v="2"/>
    <x v="4"/>
    <x v="2"/>
    <x v="3"/>
    <x v="4"/>
    <x v="3"/>
    <x v="3"/>
    <x v="2"/>
    <x v="2"/>
    <x v="3"/>
    <x v="2"/>
    <x v="2"/>
    <x v="5"/>
    <x v="2"/>
    <x v="1"/>
    <x v="2"/>
    <x v="4"/>
    <x v="3"/>
    <x v="3"/>
    <x v="1"/>
    <x v="3"/>
    <x v="3"/>
    <m/>
    <m/>
    <m/>
    <m/>
  </r>
  <r>
    <m/>
    <x v="3"/>
    <x v="4"/>
    <x v="1"/>
    <m/>
    <m/>
    <m/>
    <x v="0"/>
    <m/>
    <x v="6"/>
    <m/>
    <m/>
    <m/>
    <m/>
    <m/>
    <m/>
    <m/>
    <m/>
    <m/>
    <m/>
    <m/>
    <m/>
    <x v="0"/>
    <x v="0"/>
    <x v="0"/>
    <m/>
    <m/>
    <x v="4"/>
    <m/>
    <m/>
    <m/>
    <m/>
    <m/>
    <m/>
    <x v="0"/>
    <x v="0"/>
    <x v="6"/>
    <x v="6"/>
    <x v="6"/>
    <x v="6"/>
    <x v="6"/>
    <x v="6"/>
    <x v="6"/>
    <x v="6"/>
    <x v="1"/>
    <x v="6"/>
    <x v="6"/>
    <x v="6"/>
    <x v="6"/>
    <x v="5"/>
    <x v="4"/>
    <x v="2"/>
    <x v="2"/>
    <x v="6"/>
    <x v="2"/>
    <x v="6"/>
    <m/>
    <m/>
    <m/>
    <m/>
  </r>
  <r>
    <m/>
    <x v="3"/>
    <x v="4"/>
    <x v="0"/>
    <m/>
    <m/>
    <m/>
    <x v="0"/>
    <m/>
    <x v="0"/>
    <m/>
    <m/>
    <m/>
    <m/>
    <m/>
    <m/>
    <m/>
    <m/>
    <m/>
    <m/>
    <m/>
    <m/>
    <x v="0"/>
    <x v="0"/>
    <x v="0"/>
    <m/>
    <m/>
    <x v="0"/>
    <m/>
    <m/>
    <m/>
    <m/>
    <m/>
    <m/>
    <x v="4"/>
    <x v="1"/>
    <x v="1"/>
    <x v="2"/>
    <x v="2"/>
    <x v="2"/>
    <x v="1"/>
    <x v="1"/>
    <x v="1"/>
    <x v="2"/>
    <x v="1"/>
    <x v="3"/>
    <x v="2"/>
    <x v="1"/>
    <x v="4"/>
    <x v="5"/>
    <x v="6"/>
    <x v="3"/>
    <x v="3"/>
    <x v="2"/>
    <x v="5"/>
    <x v="1"/>
    <m/>
    <m/>
    <m/>
    <m/>
  </r>
  <r>
    <m/>
    <x v="3"/>
    <x v="4"/>
    <x v="0"/>
    <m/>
    <m/>
    <m/>
    <x v="0"/>
    <m/>
    <x v="0"/>
    <m/>
    <m/>
    <m/>
    <m/>
    <m/>
    <m/>
    <m/>
    <m/>
    <m/>
    <m/>
    <m/>
    <m/>
    <x v="0"/>
    <x v="0"/>
    <x v="0"/>
    <m/>
    <m/>
    <x v="0"/>
    <m/>
    <m/>
    <m/>
    <m/>
    <m/>
    <m/>
    <x v="0"/>
    <x v="0"/>
    <x v="2"/>
    <x v="3"/>
    <x v="4"/>
    <x v="2"/>
    <x v="3"/>
    <x v="2"/>
    <x v="1"/>
    <x v="2"/>
    <x v="1"/>
    <x v="3"/>
    <x v="2"/>
    <x v="1"/>
    <x v="4"/>
    <x v="1"/>
    <x v="2"/>
    <x v="2"/>
    <x v="6"/>
    <x v="6"/>
    <x v="4"/>
    <x v="3"/>
    <m/>
    <m/>
    <m/>
    <m/>
  </r>
  <r>
    <m/>
    <x v="3"/>
    <x v="0"/>
    <x v="3"/>
    <m/>
    <m/>
    <m/>
    <x v="0"/>
    <m/>
    <x v="0"/>
    <m/>
    <m/>
    <m/>
    <m/>
    <m/>
    <m/>
    <m/>
    <m/>
    <m/>
    <m/>
    <m/>
    <m/>
    <x v="0"/>
    <x v="0"/>
    <x v="1"/>
    <m/>
    <m/>
    <x v="6"/>
    <m/>
    <m/>
    <m/>
    <m/>
    <m/>
    <m/>
    <x v="1"/>
    <x v="2"/>
    <x v="1"/>
    <x v="3"/>
    <x v="4"/>
    <x v="2"/>
    <x v="3"/>
    <x v="1"/>
    <x v="2"/>
    <x v="2"/>
    <x v="1"/>
    <x v="3"/>
    <x v="1"/>
    <x v="1"/>
    <x v="1"/>
    <x v="2"/>
    <x v="4"/>
    <x v="3"/>
    <x v="3"/>
    <x v="4"/>
    <x v="3"/>
    <x v="6"/>
    <m/>
    <m/>
    <m/>
    <m/>
  </r>
  <r>
    <m/>
    <x v="4"/>
    <x v="0"/>
    <x v="0"/>
    <m/>
    <m/>
    <m/>
    <x v="2"/>
    <m/>
    <x v="2"/>
    <m/>
    <m/>
    <m/>
    <m/>
    <m/>
    <m/>
    <m/>
    <m/>
    <m/>
    <m/>
    <m/>
    <m/>
    <x v="3"/>
    <x v="2"/>
    <x v="3"/>
    <m/>
    <m/>
    <x v="2"/>
    <m/>
    <m/>
    <m/>
    <m/>
    <m/>
    <m/>
    <x v="4"/>
    <x v="1"/>
    <x v="2"/>
    <x v="5"/>
    <x v="4"/>
    <x v="3"/>
    <x v="5"/>
    <x v="4"/>
    <x v="2"/>
    <x v="3"/>
    <x v="5"/>
    <x v="1"/>
    <x v="0"/>
    <x v="4"/>
    <x v="3"/>
    <x v="2"/>
    <x v="4"/>
    <x v="5"/>
    <x v="0"/>
    <x v="4"/>
    <x v="3"/>
    <x v="1"/>
    <n v="6.67"/>
    <n v="3.33"/>
    <n v="0"/>
    <n v="3.33"/>
  </r>
  <r>
    <m/>
    <x v="4"/>
    <x v="0"/>
    <x v="0"/>
    <m/>
    <m/>
    <m/>
    <x v="0"/>
    <m/>
    <x v="0"/>
    <m/>
    <m/>
    <m/>
    <m/>
    <m/>
    <m/>
    <m/>
    <m/>
    <m/>
    <m/>
    <m/>
    <m/>
    <x v="0"/>
    <x v="0"/>
    <x v="0"/>
    <m/>
    <m/>
    <x v="0"/>
    <m/>
    <m/>
    <m/>
    <m/>
    <m/>
    <m/>
    <x v="0"/>
    <x v="0"/>
    <x v="1"/>
    <x v="2"/>
    <x v="2"/>
    <x v="2"/>
    <x v="1"/>
    <x v="1"/>
    <x v="1"/>
    <x v="2"/>
    <x v="2"/>
    <x v="3"/>
    <x v="1"/>
    <x v="5"/>
    <x v="0"/>
    <x v="1"/>
    <x v="2"/>
    <x v="2"/>
    <x v="2"/>
    <x v="2"/>
    <x v="3"/>
    <x v="1"/>
    <n v="6.67"/>
    <n v="0"/>
    <n v="6.67"/>
    <n v="0"/>
  </r>
  <r>
    <m/>
    <x v="4"/>
    <x v="0"/>
    <x v="0"/>
    <m/>
    <m/>
    <m/>
    <x v="0"/>
    <m/>
    <x v="0"/>
    <m/>
    <m/>
    <m/>
    <m/>
    <m/>
    <m/>
    <m/>
    <m/>
    <m/>
    <m/>
    <m/>
    <m/>
    <x v="0"/>
    <x v="0"/>
    <x v="0"/>
    <m/>
    <m/>
    <x v="0"/>
    <m/>
    <m/>
    <m/>
    <m/>
    <m/>
    <m/>
    <x v="0"/>
    <x v="0"/>
    <x v="2"/>
    <x v="3"/>
    <x v="3"/>
    <x v="2"/>
    <x v="3"/>
    <x v="1"/>
    <x v="5"/>
    <x v="2"/>
    <x v="2"/>
    <x v="2"/>
    <x v="1"/>
    <x v="2"/>
    <x v="3"/>
    <x v="1"/>
    <x v="2"/>
    <x v="2"/>
    <x v="2"/>
    <x v="2"/>
    <x v="4"/>
    <x v="1"/>
    <n v="3.33"/>
    <n v="0"/>
    <n v="0"/>
    <n v="0"/>
  </r>
  <r>
    <m/>
    <x v="4"/>
    <x v="0"/>
    <x v="0"/>
    <m/>
    <m/>
    <m/>
    <x v="4"/>
    <m/>
    <x v="0"/>
    <m/>
    <m/>
    <m/>
    <m/>
    <m/>
    <m/>
    <m/>
    <m/>
    <m/>
    <m/>
    <m/>
    <m/>
    <x v="0"/>
    <x v="0"/>
    <x v="0"/>
    <m/>
    <m/>
    <x v="0"/>
    <m/>
    <m/>
    <m/>
    <m/>
    <m/>
    <m/>
    <x v="0"/>
    <x v="0"/>
    <x v="0"/>
    <x v="0"/>
    <x v="0"/>
    <x v="2"/>
    <x v="3"/>
    <x v="1"/>
    <x v="1"/>
    <x v="2"/>
    <x v="1"/>
    <x v="2"/>
    <x v="2"/>
    <x v="1"/>
    <x v="1"/>
    <x v="1"/>
    <x v="2"/>
    <x v="2"/>
    <x v="2"/>
    <x v="2"/>
    <x v="3"/>
    <x v="0"/>
    <n v="0"/>
    <n v="0"/>
    <n v="3.33"/>
    <n v="3.33"/>
  </r>
  <r>
    <m/>
    <x v="4"/>
    <x v="0"/>
    <x v="1"/>
    <m/>
    <m/>
    <m/>
    <x v="0"/>
    <m/>
    <x v="2"/>
    <m/>
    <m/>
    <m/>
    <m/>
    <m/>
    <m/>
    <m/>
    <m/>
    <m/>
    <m/>
    <m/>
    <m/>
    <x v="3"/>
    <x v="0"/>
    <x v="0"/>
    <m/>
    <m/>
    <x v="0"/>
    <m/>
    <m/>
    <m/>
    <m/>
    <m/>
    <m/>
    <x v="0"/>
    <x v="4"/>
    <x v="1"/>
    <x v="3"/>
    <x v="2"/>
    <x v="2"/>
    <x v="1"/>
    <x v="1"/>
    <x v="1"/>
    <x v="2"/>
    <x v="1"/>
    <x v="1"/>
    <x v="5"/>
    <x v="1"/>
    <x v="1"/>
    <x v="1"/>
    <x v="2"/>
    <x v="2"/>
    <x v="2"/>
    <x v="2"/>
    <x v="3"/>
    <x v="3"/>
    <n v="0"/>
    <n v="3.33"/>
    <n v="3.33"/>
    <n v="3.33"/>
  </r>
  <r>
    <m/>
    <x v="4"/>
    <x v="0"/>
    <x v="0"/>
    <m/>
    <m/>
    <m/>
    <x v="0"/>
    <m/>
    <x v="0"/>
    <m/>
    <m/>
    <m/>
    <m/>
    <m/>
    <m/>
    <m/>
    <m/>
    <m/>
    <m/>
    <m/>
    <m/>
    <x v="0"/>
    <x v="0"/>
    <x v="0"/>
    <m/>
    <m/>
    <x v="0"/>
    <m/>
    <m/>
    <m/>
    <m/>
    <m/>
    <m/>
    <x v="0"/>
    <x v="2"/>
    <x v="1"/>
    <x v="3"/>
    <x v="2"/>
    <x v="2"/>
    <x v="1"/>
    <x v="2"/>
    <x v="1"/>
    <x v="2"/>
    <x v="1"/>
    <x v="2"/>
    <x v="1"/>
    <x v="1"/>
    <x v="1"/>
    <x v="1"/>
    <x v="4"/>
    <x v="2"/>
    <x v="2"/>
    <x v="2"/>
    <x v="2"/>
    <x v="3"/>
    <n v="0"/>
    <n v="0"/>
    <n v="0"/>
    <n v="0"/>
  </r>
  <r>
    <m/>
    <x v="4"/>
    <x v="0"/>
    <x v="1"/>
    <m/>
    <m/>
    <m/>
    <x v="0"/>
    <m/>
    <x v="0"/>
    <m/>
    <m/>
    <m/>
    <m/>
    <m/>
    <m/>
    <m/>
    <m/>
    <m/>
    <m/>
    <m/>
    <m/>
    <x v="0"/>
    <x v="0"/>
    <x v="0"/>
    <m/>
    <m/>
    <x v="1"/>
    <m/>
    <m/>
    <m/>
    <m/>
    <m/>
    <m/>
    <x v="0"/>
    <x v="0"/>
    <x v="2"/>
    <x v="2"/>
    <x v="4"/>
    <x v="3"/>
    <x v="3"/>
    <x v="5"/>
    <x v="2"/>
    <x v="3"/>
    <x v="0"/>
    <x v="2"/>
    <x v="1"/>
    <x v="2"/>
    <x v="1"/>
    <x v="0"/>
    <x v="4"/>
    <x v="3"/>
    <x v="3"/>
    <x v="1"/>
    <x v="5"/>
    <x v="0"/>
    <n v="3.33"/>
    <n v="3.33"/>
    <n v="3.33"/>
    <n v="6.67"/>
  </r>
  <r>
    <m/>
    <x v="4"/>
    <x v="0"/>
    <x v="0"/>
    <m/>
    <m/>
    <m/>
    <x v="0"/>
    <m/>
    <x v="0"/>
    <m/>
    <m/>
    <m/>
    <m/>
    <m/>
    <m/>
    <m/>
    <m/>
    <m/>
    <m/>
    <m/>
    <m/>
    <x v="0"/>
    <x v="5"/>
    <x v="0"/>
    <m/>
    <m/>
    <x v="1"/>
    <m/>
    <m/>
    <m/>
    <m/>
    <m/>
    <m/>
    <x v="1"/>
    <x v="0"/>
    <x v="2"/>
    <x v="2"/>
    <x v="2"/>
    <x v="3"/>
    <x v="3"/>
    <x v="2"/>
    <x v="1"/>
    <x v="2"/>
    <x v="2"/>
    <x v="3"/>
    <x v="1"/>
    <x v="1"/>
    <x v="2"/>
    <x v="1"/>
    <x v="2"/>
    <x v="2"/>
    <x v="2"/>
    <x v="0"/>
    <x v="3"/>
    <x v="3"/>
    <m/>
    <n v="0"/>
    <n v="0"/>
    <n v="0"/>
  </r>
  <r>
    <m/>
    <x v="4"/>
    <x v="0"/>
    <x v="0"/>
    <m/>
    <m/>
    <m/>
    <x v="2"/>
    <m/>
    <x v="0"/>
    <m/>
    <m/>
    <m/>
    <m/>
    <m/>
    <m/>
    <m/>
    <m/>
    <m/>
    <m/>
    <m/>
    <m/>
    <x v="0"/>
    <x v="0"/>
    <x v="1"/>
    <m/>
    <m/>
    <x v="1"/>
    <m/>
    <m/>
    <m/>
    <m/>
    <m/>
    <m/>
    <x v="1"/>
    <x v="4"/>
    <x v="2"/>
    <x v="5"/>
    <x v="2"/>
    <x v="2"/>
    <x v="3"/>
    <x v="4"/>
    <x v="1"/>
    <x v="5"/>
    <x v="2"/>
    <x v="5"/>
    <x v="4"/>
    <x v="5"/>
    <x v="2"/>
    <x v="4"/>
    <x v="1"/>
    <x v="4"/>
    <x v="2"/>
    <x v="2"/>
    <x v="5"/>
    <x v="5"/>
    <n v="0"/>
    <n v="0"/>
    <n v="6.67"/>
    <n v="3.33"/>
  </r>
  <r>
    <m/>
    <x v="4"/>
    <x v="0"/>
    <x v="0"/>
    <m/>
    <m/>
    <m/>
    <x v="0"/>
    <m/>
    <x v="2"/>
    <m/>
    <m/>
    <m/>
    <m/>
    <m/>
    <m/>
    <m/>
    <m/>
    <m/>
    <m/>
    <m/>
    <m/>
    <x v="3"/>
    <x v="0"/>
    <x v="1"/>
    <m/>
    <m/>
    <x v="0"/>
    <m/>
    <m/>
    <m/>
    <m/>
    <m/>
    <m/>
    <x v="1"/>
    <x v="4"/>
    <x v="1"/>
    <x v="2"/>
    <x v="4"/>
    <x v="3"/>
    <x v="3"/>
    <x v="1"/>
    <x v="1"/>
    <x v="3"/>
    <x v="2"/>
    <x v="1"/>
    <x v="0"/>
    <x v="2"/>
    <x v="1"/>
    <x v="1"/>
    <x v="1"/>
    <x v="3"/>
    <x v="2"/>
    <x v="4"/>
    <x v="3"/>
    <x v="3"/>
    <n v="0"/>
    <n v="0"/>
    <n v="6.67"/>
    <n v="3.33"/>
  </r>
  <r>
    <m/>
    <x v="4"/>
    <x v="0"/>
    <x v="0"/>
    <m/>
    <m/>
    <m/>
    <x v="1"/>
    <m/>
    <x v="0"/>
    <m/>
    <m/>
    <m/>
    <m/>
    <m/>
    <m/>
    <m/>
    <m/>
    <m/>
    <m/>
    <m/>
    <m/>
    <x v="0"/>
    <x v="0"/>
    <x v="0"/>
    <m/>
    <m/>
    <x v="0"/>
    <m/>
    <m/>
    <m/>
    <m/>
    <m/>
    <m/>
    <x v="0"/>
    <x v="2"/>
    <x v="1"/>
    <x v="2"/>
    <x v="2"/>
    <x v="2"/>
    <x v="3"/>
    <x v="1"/>
    <x v="1"/>
    <x v="2"/>
    <x v="1"/>
    <x v="3"/>
    <x v="1"/>
    <x v="1"/>
    <x v="1"/>
    <x v="1"/>
    <x v="4"/>
    <x v="2"/>
    <x v="3"/>
    <x v="2"/>
    <x v="3"/>
    <x v="1"/>
    <n v="6.67"/>
    <n v="3.33"/>
    <n v="6.67"/>
    <n v="0"/>
  </r>
  <r>
    <m/>
    <x v="4"/>
    <x v="0"/>
    <x v="1"/>
    <m/>
    <m/>
    <m/>
    <x v="0"/>
    <m/>
    <x v="2"/>
    <m/>
    <m/>
    <m/>
    <m/>
    <m/>
    <m/>
    <m/>
    <m/>
    <m/>
    <m/>
    <m/>
    <m/>
    <x v="3"/>
    <x v="0"/>
    <x v="1"/>
    <m/>
    <m/>
    <x v="0"/>
    <m/>
    <m/>
    <m/>
    <m/>
    <m/>
    <m/>
    <x v="0"/>
    <x v="2"/>
    <x v="1"/>
    <x v="3"/>
    <x v="4"/>
    <x v="2"/>
    <x v="3"/>
    <x v="1"/>
    <x v="1"/>
    <x v="3"/>
    <x v="1"/>
    <x v="2"/>
    <x v="1"/>
    <x v="1"/>
    <x v="1"/>
    <x v="1"/>
    <x v="4"/>
    <x v="5"/>
    <x v="2"/>
    <x v="2"/>
    <x v="4"/>
    <x v="3"/>
    <n v="0"/>
    <n v="0"/>
    <n v="3.33"/>
    <n v="3.33"/>
  </r>
  <r>
    <m/>
    <x v="4"/>
    <x v="0"/>
    <x v="0"/>
    <m/>
    <m/>
    <m/>
    <x v="0"/>
    <m/>
    <x v="0"/>
    <m/>
    <m/>
    <m/>
    <m/>
    <m/>
    <m/>
    <m/>
    <m/>
    <m/>
    <m/>
    <m/>
    <m/>
    <x v="0"/>
    <x v="0"/>
    <x v="1"/>
    <m/>
    <m/>
    <x v="0"/>
    <m/>
    <m/>
    <m/>
    <m/>
    <m/>
    <m/>
    <x v="1"/>
    <x v="2"/>
    <x v="1"/>
    <x v="2"/>
    <x v="4"/>
    <x v="2"/>
    <x v="1"/>
    <x v="1"/>
    <x v="1"/>
    <x v="2"/>
    <x v="2"/>
    <x v="1"/>
    <x v="1"/>
    <x v="1"/>
    <x v="1"/>
    <x v="2"/>
    <x v="4"/>
    <x v="3"/>
    <x v="3"/>
    <x v="2"/>
    <x v="4"/>
    <x v="3"/>
    <n v="0"/>
    <n v="0"/>
    <n v="0"/>
    <n v="3.33"/>
  </r>
  <r>
    <m/>
    <x v="4"/>
    <x v="0"/>
    <x v="0"/>
    <m/>
    <m/>
    <m/>
    <x v="1"/>
    <m/>
    <x v="5"/>
    <m/>
    <m/>
    <m/>
    <m/>
    <m/>
    <m/>
    <m/>
    <m/>
    <m/>
    <m/>
    <m/>
    <m/>
    <x v="4"/>
    <x v="0"/>
    <x v="2"/>
    <m/>
    <m/>
    <x v="2"/>
    <m/>
    <m/>
    <m/>
    <m/>
    <m/>
    <m/>
    <x v="2"/>
    <x v="5"/>
    <x v="0"/>
    <x v="0"/>
    <x v="0"/>
    <x v="0"/>
    <x v="0"/>
    <x v="0"/>
    <x v="0"/>
    <x v="0"/>
    <x v="0"/>
    <x v="2"/>
    <x v="0"/>
    <x v="0"/>
    <x v="3"/>
    <x v="0"/>
    <x v="3"/>
    <x v="4"/>
    <x v="5"/>
    <x v="1"/>
    <x v="5"/>
    <x v="0"/>
    <m/>
    <n v="3.33"/>
    <n v="0"/>
    <m/>
  </r>
  <r>
    <m/>
    <x v="4"/>
    <x v="0"/>
    <x v="1"/>
    <m/>
    <m/>
    <m/>
    <x v="4"/>
    <m/>
    <x v="5"/>
    <m/>
    <m/>
    <m/>
    <m/>
    <m/>
    <m/>
    <m/>
    <m/>
    <m/>
    <m/>
    <m/>
    <m/>
    <x v="4"/>
    <x v="4"/>
    <x v="5"/>
    <m/>
    <m/>
    <x v="2"/>
    <m/>
    <m/>
    <m/>
    <m/>
    <m/>
    <m/>
    <x v="2"/>
    <x v="1"/>
    <x v="2"/>
    <x v="0"/>
    <x v="0"/>
    <x v="0"/>
    <x v="3"/>
    <x v="0"/>
    <x v="0"/>
    <x v="0"/>
    <x v="0"/>
    <x v="0"/>
    <x v="0"/>
    <x v="0"/>
    <x v="1"/>
    <x v="1"/>
    <x v="0"/>
    <x v="3"/>
    <x v="3"/>
    <x v="0"/>
    <x v="5"/>
    <x v="3"/>
    <n v="0"/>
    <n v="3.33"/>
    <n v="3.33"/>
    <n v="3.33"/>
  </r>
  <r>
    <m/>
    <x v="4"/>
    <x v="3"/>
    <x v="1"/>
    <m/>
    <m/>
    <m/>
    <x v="1"/>
    <m/>
    <x v="0"/>
    <m/>
    <m/>
    <m/>
    <m/>
    <m/>
    <m/>
    <m/>
    <m/>
    <m/>
    <m/>
    <m/>
    <m/>
    <x v="0"/>
    <x v="1"/>
    <x v="1"/>
    <m/>
    <m/>
    <x v="1"/>
    <m/>
    <m/>
    <m/>
    <m/>
    <m/>
    <m/>
    <x v="0"/>
    <x v="2"/>
    <x v="2"/>
    <x v="3"/>
    <x v="2"/>
    <x v="4"/>
    <x v="3"/>
    <x v="1"/>
    <x v="1"/>
    <x v="3"/>
    <x v="2"/>
    <x v="1"/>
    <x v="1"/>
    <x v="2"/>
    <x v="3"/>
    <x v="1"/>
    <x v="1"/>
    <x v="5"/>
    <x v="5"/>
    <x v="4"/>
    <x v="5"/>
    <x v="3"/>
    <n v="6.67"/>
    <n v="3.33"/>
    <n v="0"/>
    <n v="0"/>
  </r>
  <r>
    <m/>
    <x v="4"/>
    <x v="3"/>
    <x v="1"/>
    <m/>
    <m/>
    <m/>
    <x v="0"/>
    <m/>
    <x v="0"/>
    <m/>
    <m/>
    <m/>
    <m/>
    <m/>
    <m/>
    <m/>
    <m/>
    <m/>
    <m/>
    <m/>
    <m/>
    <x v="0"/>
    <x v="0"/>
    <x v="0"/>
    <m/>
    <m/>
    <x v="0"/>
    <m/>
    <m/>
    <m/>
    <m/>
    <m/>
    <m/>
    <x v="0"/>
    <x v="0"/>
    <x v="1"/>
    <x v="2"/>
    <x v="2"/>
    <x v="2"/>
    <x v="1"/>
    <x v="1"/>
    <x v="1"/>
    <x v="2"/>
    <x v="2"/>
    <x v="3"/>
    <x v="2"/>
    <x v="1"/>
    <x v="1"/>
    <x v="1"/>
    <x v="4"/>
    <x v="2"/>
    <x v="3"/>
    <x v="2"/>
    <x v="2"/>
    <x v="1"/>
    <n v="3.33"/>
    <n v="0"/>
    <n v="0"/>
    <n v="0"/>
  </r>
  <r>
    <m/>
    <x v="4"/>
    <x v="3"/>
    <x v="1"/>
    <m/>
    <m/>
    <m/>
    <x v="0"/>
    <m/>
    <x v="2"/>
    <m/>
    <m/>
    <m/>
    <m/>
    <m/>
    <m/>
    <m/>
    <m/>
    <m/>
    <m/>
    <m/>
    <m/>
    <x v="3"/>
    <x v="0"/>
    <x v="0"/>
    <m/>
    <m/>
    <x v="0"/>
    <m/>
    <m/>
    <m/>
    <m/>
    <m/>
    <m/>
    <x v="0"/>
    <x v="5"/>
    <x v="2"/>
    <x v="2"/>
    <x v="0"/>
    <x v="2"/>
    <x v="3"/>
    <x v="1"/>
    <x v="1"/>
    <x v="2"/>
    <x v="1"/>
    <x v="2"/>
    <x v="0"/>
    <x v="2"/>
    <x v="1"/>
    <x v="1"/>
    <x v="0"/>
    <x v="3"/>
    <x v="2"/>
    <x v="4"/>
    <x v="3"/>
    <x v="3"/>
    <n v="6.67"/>
    <n v="3.33"/>
    <n v="3.33"/>
    <n v="3.33"/>
  </r>
  <r>
    <m/>
    <x v="4"/>
    <x v="3"/>
    <x v="2"/>
    <m/>
    <m/>
    <m/>
    <x v="0"/>
    <m/>
    <x v="0"/>
    <m/>
    <m/>
    <m/>
    <m/>
    <m/>
    <m/>
    <m/>
    <m/>
    <m/>
    <m/>
    <m/>
    <m/>
    <x v="0"/>
    <x v="0"/>
    <x v="1"/>
    <m/>
    <m/>
    <x v="0"/>
    <m/>
    <m/>
    <m/>
    <m/>
    <m/>
    <m/>
    <x v="1"/>
    <x v="5"/>
    <x v="1"/>
    <x v="2"/>
    <x v="4"/>
    <x v="2"/>
    <x v="3"/>
    <x v="1"/>
    <x v="2"/>
    <x v="0"/>
    <x v="0"/>
    <x v="0"/>
    <x v="1"/>
    <x v="2"/>
    <x v="1"/>
    <x v="0"/>
    <x v="3"/>
    <x v="2"/>
    <x v="0"/>
    <x v="2"/>
    <x v="2"/>
    <x v="0"/>
    <n v="3.33"/>
    <n v="0"/>
    <n v="3.33"/>
    <n v="3.33"/>
  </r>
  <r>
    <m/>
    <x v="4"/>
    <x v="4"/>
    <x v="0"/>
    <m/>
    <m/>
    <m/>
    <x v="0"/>
    <m/>
    <x v="2"/>
    <m/>
    <m/>
    <m/>
    <m/>
    <m/>
    <m/>
    <m/>
    <m/>
    <m/>
    <m/>
    <m/>
    <m/>
    <x v="3"/>
    <x v="0"/>
    <x v="0"/>
    <m/>
    <m/>
    <x v="1"/>
    <m/>
    <m/>
    <m/>
    <m/>
    <m/>
    <m/>
    <x v="0"/>
    <x v="0"/>
    <x v="1"/>
    <x v="3"/>
    <x v="2"/>
    <x v="2"/>
    <x v="3"/>
    <x v="1"/>
    <x v="1"/>
    <x v="2"/>
    <x v="1"/>
    <x v="3"/>
    <x v="2"/>
    <x v="1"/>
    <x v="2"/>
    <x v="1"/>
    <x v="2"/>
    <x v="2"/>
    <x v="3"/>
    <x v="2"/>
    <x v="2"/>
    <x v="3"/>
    <n v="6.67"/>
    <n v="0"/>
    <n v="0"/>
    <n v="3.33"/>
  </r>
  <r>
    <m/>
    <x v="4"/>
    <x v="4"/>
    <x v="0"/>
    <m/>
    <m/>
    <m/>
    <x v="0"/>
    <m/>
    <x v="0"/>
    <m/>
    <m/>
    <m/>
    <m/>
    <m/>
    <m/>
    <m/>
    <m/>
    <m/>
    <m/>
    <m/>
    <m/>
    <x v="0"/>
    <x v="0"/>
    <x v="0"/>
    <m/>
    <m/>
    <x v="0"/>
    <m/>
    <m/>
    <m/>
    <m/>
    <m/>
    <m/>
    <x v="0"/>
    <x v="0"/>
    <x v="0"/>
    <x v="2"/>
    <x v="2"/>
    <x v="2"/>
    <x v="1"/>
    <x v="1"/>
    <x v="1"/>
    <x v="2"/>
    <x v="1"/>
    <x v="3"/>
    <x v="2"/>
    <x v="0"/>
    <x v="2"/>
    <x v="0"/>
    <x v="2"/>
    <x v="2"/>
    <x v="3"/>
    <x v="2"/>
    <x v="5"/>
    <x v="3"/>
    <n v="6.67"/>
    <n v="0"/>
    <n v="0"/>
    <n v="6.67"/>
  </r>
  <r>
    <m/>
    <x v="4"/>
    <x v="2"/>
    <x v="0"/>
    <m/>
    <m/>
    <m/>
    <x v="0"/>
    <m/>
    <x v="0"/>
    <m/>
    <m/>
    <m/>
    <m/>
    <m/>
    <m/>
    <m/>
    <m/>
    <m/>
    <m/>
    <m/>
    <m/>
    <x v="0"/>
    <x v="0"/>
    <x v="0"/>
    <m/>
    <m/>
    <x v="0"/>
    <m/>
    <m/>
    <m/>
    <m/>
    <m/>
    <m/>
    <x v="1"/>
    <x v="2"/>
    <x v="2"/>
    <x v="0"/>
    <x v="4"/>
    <x v="2"/>
    <x v="3"/>
    <x v="2"/>
    <x v="2"/>
    <x v="3"/>
    <x v="3"/>
    <x v="0"/>
    <x v="0"/>
    <x v="2"/>
    <x v="3"/>
    <x v="2"/>
    <x v="3"/>
    <x v="2"/>
    <x v="0"/>
    <x v="0"/>
    <x v="3"/>
    <x v="4"/>
    <n v="3.33"/>
    <n v="0"/>
    <n v="0"/>
    <n v="6.67"/>
  </r>
  <r>
    <m/>
    <x v="4"/>
    <x v="2"/>
    <x v="0"/>
    <m/>
    <m/>
    <m/>
    <x v="0"/>
    <m/>
    <x v="2"/>
    <m/>
    <m/>
    <m/>
    <m/>
    <m/>
    <m/>
    <m/>
    <m/>
    <m/>
    <m/>
    <m/>
    <m/>
    <x v="3"/>
    <x v="0"/>
    <x v="0"/>
    <m/>
    <m/>
    <x v="0"/>
    <m/>
    <m/>
    <m/>
    <m/>
    <m/>
    <m/>
    <x v="0"/>
    <x v="5"/>
    <x v="2"/>
    <x v="3"/>
    <x v="2"/>
    <x v="2"/>
    <x v="1"/>
    <x v="1"/>
    <x v="2"/>
    <x v="3"/>
    <x v="2"/>
    <x v="2"/>
    <x v="1"/>
    <x v="1"/>
    <x v="1"/>
    <x v="1"/>
    <x v="4"/>
    <x v="2"/>
    <x v="0"/>
    <x v="2"/>
    <x v="2"/>
    <x v="3"/>
    <n v="3.33"/>
    <n v="0"/>
    <n v="0"/>
    <n v="3.33"/>
  </r>
  <r>
    <m/>
    <x v="4"/>
    <x v="2"/>
    <x v="0"/>
    <m/>
    <m/>
    <m/>
    <x v="0"/>
    <m/>
    <x v="0"/>
    <m/>
    <m/>
    <m/>
    <m/>
    <m/>
    <m/>
    <m/>
    <m/>
    <m/>
    <m/>
    <m/>
    <m/>
    <x v="0"/>
    <x v="0"/>
    <x v="0"/>
    <m/>
    <m/>
    <x v="0"/>
    <m/>
    <m/>
    <m/>
    <m/>
    <m/>
    <m/>
    <x v="0"/>
    <x v="0"/>
    <x v="1"/>
    <x v="2"/>
    <x v="2"/>
    <x v="2"/>
    <x v="1"/>
    <x v="1"/>
    <x v="1"/>
    <x v="2"/>
    <x v="1"/>
    <x v="0"/>
    <x v="0"/>
    <x v="0"/>
    <x v="0"/>
    <x v="1"/>
    <x v="3"/>
    <x v="3"/>
    <x v="3"/>
    <x v="4"/>
    <x v="4"/>
    <x v="0"/>
    <n v="3.33"/>
    <n v="0"/>
    <n v="3.33"/>
    <n v="0"/>
  </r>
  <r>
    <m/>
    <x v="4"/>
    <x v="2"/>
    <x v="0"/>
    <m/>
    <m/>
    <m/>
    <x v="0"/>
    <m/>
    <x v="2"/>
    <m/>
    <m/>
    <m/>
    <m/>
    <m/>
    <m/>
    <m/>
    <m/>
    <m/>
    <m/>
    <m/>
    <m/>
    <x v="3"/>
    <x v="0"/>
    <x v="1"/>
    <m/>
    <m/>
    <x v="0"/>
    <m/>
    <m/>
    <m/>
    <m/>
    <m/>
    <m/>
    <x v="0"/>
    <x v="0"/>
    <x v="1"/>
    <x v="3"/>
    <x v="4"/>
    <x v="2"/>
    <x v="3"/>
    <x v="1"/>
    <x v="2"/>
    <x v="0"/>
    <x v="1"/>
    <x v="0"/>
    <x v="2"/>
    <x v="2"/>
    <x v="1"/>
    <x v="1"/>
    <x v="4"/>
    <x v="2"/>
    <x v="3"/>
    <x v="2"/>
    <x v="3"/>
    <x v="0"/>
    <n v="3.33"/>
    <n v="3.33"/>
    <n v="0"/>
    <n v="3.33"/>
  </r>
  <r>
    <m/>
    <x v="4"/>
    <x v="2"/>
    <x v="0"/>
    <m/>
    <m/>
    <m/>
    <x v="2"/>
    <m/>
    <x v="5"/>
    <m/>
    <m/>
    <m/>
    <m/>
    <m/>
    <m/>
    <m/>
    <m/>
    <m/>
    <m/>
    <m/>
    <m/>
    <x v="4"/>
    <x v="0"/>
    <x v="1"/>
    <m/>
    <m/>
    <x v="0"/>
    <m/>
    <m/>
    <m/>
    <m/>
    <m/>
    <m/>
    <x v="0"/>
    <x v="0"/>
    <x v="2"/>
    <x v="3"/>
    <x v="4"/>
    <x v="4"/>
    <x v="3"/>
    <x v="1"/>
    <x v="2"/>
    <x v="0"/>
    <x v="1"/>
    <x v="0"/>
    <x v="0"/>
    <x v="4"/>
    <x v="1"/>
    <x v="2"/>
    <x v="2"/>
    <x v="2"/>
    <x v="2"/>
    <x v="2"/>
    <x v="2"/>
    <x v="0"/>
    <n v="3.33"/>
    <n v="0"/>
    <n v="0"/>
    <n v="3.33"/>
  </r>
  <r>
    <m/>
    <x v="4"/>
    <x v="4"/>
    <x v="0"/>
    <m/>
    <m/>
    <m/>
    <x v="0"/>
    <m/>
    <x v="0"/>
    <m/>
    <m/>
    <m/>
    <m/>
    <m/>
    <m/>
    <m/>
    <m/>
    <m/>
    <m/>
    <m/>
    <m/>
    <x v="0"/>
    <x v="0"/>
    <x v="0"/>
    <m/>
    <m/>
    <x v="0"/>
    <m/>
    <m/>
    <m/>
    <m/>
    <m/>
    <m/>
    <x v="0"/>
    <x v="5"/>
    <x v="1"/>
    <x v="2"/>
    <x v="2"/>
    <x v="2"/>
    <x v="1"/>
    <x v="1"/>
    <x v="1"/>
    <x v="2"/>
    <x v="1"/>
    <x v="3"/>
    <x v="2"/>
    <x v="1"/>
    <x v="2"/>
    <x v="1"/>
    <x v="2"/>
    <x v="2"/>
    <x v="2"/>
    <x v="2"/>
    <x v="2"/>
    <x v="0"/>
    <n v="6.67"/>
    <n v="3.33"/>
    <n v="3.33"/>
    <n v="3.33"/>
  </r>
  <r>
    <m/>
    <x v="4"/>
    <x v="2"/>
    <x v="0"/>
    <m/>
    <m/>
    <m/>
    <x v="4"/>
    <m/>
    <x v="2"/>
    <m/>
    <m/>
    <m/>
    <m/>
    <m/>
    <m/>
    <m/>
    <m/>
    <m/>
    <m/>
    <m/>
    <m/>
    <x v="3"/>
    <x v="4"/>
    <x v="5"/>
    <m/>
    <m/>
    <x v="2"/>
    <m/>
    <m/>
    <m/>
    <m/>
    <m/>
    <m/>
    <x v="5"/>
    <x v="5"/>
    <x v="0"/>
    <x v="3"/>
    <x v="0"/>
    <x v="0"/>
    <x v="0"/>
    <x v="0"/>
    <x v="0"/>
    <x v="0"/>
    <x v="0"/>
    <x v="2"/>
    <x v="0"/>
    <x v="0"/>
    <x v="0"/>
    <x v="0"/>
    <x v="2"/>
    <x v="0"/>
    <x v="0"/>
    <x v="0"/>
    <x v="0"/>
    <x v="0"/>
    <n v="3.33"/>
    <n v="0"/>
    <n v="0"/>
    <n v="0"/>
  </r>
  <r>
    <m/>
    <x v="4"/>
    <x v="4"/>
    <x v="1"/>
    <m/>
    <m/>
    <m/>
    <x v="0"/>
    <m/>
    <x v="0"/>
    <m/>
    <m/>
    <m/>
    <m/>
    <m/>
    <m/>
    <m/>
    <m/>
    <m/>
    <m/>
    <m/>
    <m/>
    <x v="0"/>
    <x v="0"/>
    <x v="0"/>
    <m/>
    <m/>
    <x v="0"/>
    <m/>
    <m/>
    <m/>
    <m/>
    <m/>
    <m/>
    <x v="0"/>
    <x v="0"/>
    <x v="1"/>
    <x v="2"/>
    <x v="2"/>
    <x v="2"/>
    <x v="1"/>
    <x v="1"/>
    <x v="1"/>
    <x v="2"/>
    <x v="1"/>
    <x v="3"/>
    <x v="2"/>
    <x v="1"/>
    <x v="2"/>
    <x v="1"/>
    <x v="2"/>
    <x v="2"/>
    <x v="2"/>
    <x v="2"/>
    <x v="2"/>
    <x v="1"/>
    <n v="0"/>
    <n v="0"/>
    <n v="0"/>
    <n v="0"/>
  </r>
  <r>
    <m/>
    <x v="4"/>
    <x v="4"/>
    <x v="1"/>
    <m/>
    <m/>
    <m/>
    <x v="0"/>
    <m/>
    <x v="2"/>
    <m/>
    <m/>
    <m/>
    <m/>
    <m/>
    <m/>
    <m/>
    <m/>
    <m/>
    <m/>
    <m/>
    <m/>
    <x v="3"/>
    <x v="2"/>
    <x v="1"/>
    <m/>
    <m/>
    <x v="0"/>
    <m/>
    <m/>
    <m/>
    <m/>
    <m/>
    <m/>
    <x v="1"/>
    <x v="2"/>
    <x v="1"/>
    <x v="2"/>
    <x v="4"/>
    <x v="2"/>
    <x v="5"/>
    <x v="1"/>
    <x v="2"/>
    <x v="2"/>
    <x v="0"/>
    <x v="3"/>
    <x v="2"/>
    <x v="1"/>
    <x v="2"/>
    <x v="1"/>
    <x v="4"/>
    <x v="2"/>
    <x v="3"/>
    <x v="2"/>
    <x v="2"/>
    <x v="1"/>
    <n v="6.67"/>
    <n v="0"/>
    <n v="6.67"/>
    <n v="0"/>
  </r>
  <r>
    <m/>
    <x v="4"/>
    <x v="4"/>
    <x v="0"/>
    <m/>
    <m/>
    <m/>
    <x v="0"/>
    <m/>
    <x v="0"/>
    <m/>
    <m/>
    <m/>
    <m/>
    <m/>
    <m/>
    <m/>
    <m/>
    <m/>
    <m/>
    <m/>
    <m/>
    <x v="0"/>
    <x v="0"/>
    <x v="0"/>
    <m/>
    <m/>
    <x v="0"/>
    <m/>
    <m/>
    <m/>
    <m/>
    <m/>
    <m/>
    <x v="0"/>
    <x v="0"/>
    <x v="1"/>
    <x v="2"/>
    <x v="2"/>
    <x v="2"/>
    <x v="3"/>
    <x v="1"/>
    <x v="1"/>
    <x v="2"/>
    <x v="1"/>
    <x v="3"/>
    <x v="2"/>
    <x v="1"/>
    <x v="1"/>
    <x v="1"/>
    <x v="2"/>
    <x v="2"/>
    <x v="2"/>
    <x v="2"/>
    <x v="3"/>
    <x v="1"/>
    <n v="6.67"/>
    <n v="0"/>
    <n v="0"/>
    <n v="0"/>
  </r>
  <r>
    <m/>
    <x v="4"/>
    <x v="4"/>
    <x v="1"/>
    <m/>
    <m/>
    <m/>
    <x v="0"/>
    <m/>
    <x v="2"/>
    <m/>
    <m/>
    <m/>
    <m/>
    <m/>
    <m/>
    <m/>
    <m/>
    <m/>
    <m/>
    <m/>
    <m/>
    <x v="3"/>
    <x v="0"/>
    <x v="0"/>
    <m/>
    <m/>
    <x v="0"/>
    <m/>
    <m/>
    <m/>
    <m/>
    <m/>
    <m/>
    <x v="0"/>
    <x v="0"/>
    <x v="1"/>
    <x v="2"/>
    <x v="2"/>
    <x v="2"/>
    <x v="3"/>
    <x v="1"/>
    <x v="1"/>
    <x v="2"/>
    <x v="1"/>
    <x v="2"/>
    <x v="2"/>
    <x v="1"/>
    <x v="1"/>
    <x v="1"/>
    <x v="2"/>
    <x v="2"/>
    <x v="2"/>
    <x v="2"/>
    <x v="2"/>
    <x v="3"/>
    <n v="3.33"/>
    <n v="0"/>
    <n v="3.33"/>
    <n v="0"/>
  </r>
  <r>
    <m/>
    <x v="4"/>
    <x v="4"/>
    <x v="0"/>
    <m/>
    <m/>
    <m/>
    <x v="0"/>
    <m/>
    <x v="4"/>
    <m/>
    <m/>
    <m/>
    <m/>
    <m/>
    <m/>
    <m/>
    <m/>
    <m/>
    <m/>
    <m/>
    <m/>
    <x v="5"/>
    <x v="0"/>
    <x v="0"/>
    <m/>
    <m/>
    <x v="0"/>
    <m/>
    <m/>
    <m/>
    <m/>
    <m/>
    <m/>
    <x v="0"/>
    <x v="5"/>
    <x v="1"/>
    <x v="3"/>
    <x v="2"/>
    <x v="2"/>
    <x v="1"/>
    <x v="1"/>
    <x v="1"/>
    <x v="0"/>
    <x v="1"/>
    <x v="2"/>
    <x v="2"/>
    <x v="1"/>
    <x v="2"/>
    <x v="1"/>
    <x v="2"/>
    <x v="3"/>
    <x v="2"/>
    <x v="2"/>
    <x v="3"/>
    <x v="0"/>
    <n v="3.33"/>
    <n v="3.33"/>
    <n v="3.33"/>
    <n v="0"/>
  </r>
  <r>
    <m/>
    <x v="4"/>
    <x v="4"/>
    <x v="0"/>
    <m/>
    <m/>
    <m/>
    <x v="0"/>
    <m/>
    <x v="2"/>
    <m/>
    <m/>
    <m/>
    <m/>
    <m/>
    <m/>
    <m/>
    <m/>
    <m/>
    <m/>
    <m/>
    <m/>
    <x v="3"/>
    <x v="2"/>
    <x v="0"/>
    <m/>
    <m/>
    <x v="0"/>
    <m/>
    <m/>
    <m/>
    <m/>
    <m/>
    <m/>
    <x v="0"/>
    <x v="0"/>
    <x v="1"/>
    <x v="2"/>
    <x v="2"/>
    <x v="2"/>
    <x v="1"/>
    <x v="1"/>
    <x v="1"/>
    <x v="2"/>
    <x v="1"/>
    <x v="3"/>
    <x v="2"/>
    <x v="1"/>
    <x v="3"/>
    <x v="1"/>
    <x v="4"/>
    <x v="2"/>
    <x v="2"/>
    <x v="2"/>
    <x v="4"/>
    <x v="0"/>
    <n v="6.67"/>
    <n v="0"/>
    <n v="6.67"/>
    <n v="3.33"/>
  </r>
  <r>
    <m/>
    <x v="4"/>
    <x v="4"/>
    <x v="0"/>
    <m/>
    <m/>
    <m/>
    <x v="0"/>
    <m/>
    <x v="0"/>
    <m/>
    <m/>
    <m/>
    <m/>
    <m/>
    <m/>
    <m/>
    <m/>
    <m/>
    <m/>
    <m/>
    <m/>
    <x v="0"/>
    <x v="0"/>
    <x v="0"/>
    <m/>
    <m/>
    <x v="0"/>
    <m/>
    <m/>
    <m/>
    <m/>
    <m/>
    <m/>
    <x v="0"/>
    <x v="0"/>
    <x v="1"/>
    <x v="2"/>
    <x v="2"/>
    <x v="2"/>
    <x v="1"/>
    <x v="1"/>
    <x v="1"/>
    <x v="2"/>
    <x v="1"/>
    <x v="3"/>
    <x v="2"/>
    <x v="1"/>
    <x v="3"/>
    <x v="1"/>
    <x v="2"/>
    <x v="2"/>
    <x v="2"/>
    <x v="2"/>
    <x v="5"/>
    <x v="1"/>
    <n v="3.33"/>
    <n v="0"/>
    <n v="3.33"/>
    <n v="0"/>
  </r>
  <r>
    <m/>
    <x v="4"/>
    <x v="4"/>
    <x v="0"/>
    <m/>
    <m/>
    <m/>
    <x v="0"/>
    <m/>
    <x v="0"/>
    <m/>
    <m/>
    <m/>
    <m/>
    <m/>
    <m/>
    <m/>
    <m/>
    <m/>
    <m/>
    <m/>
    <m/>
    <x v="0"/>
    <x v="2"/>
    <x v="0"/>
    <m/>
    <m/>
    <x v="0"/>
    <m/>
    <m/>
    <m/>
    <m/>
    <m/>
    <m/>
    <x v="0"/>
    <x v="0"/>
    <x v="1"/>
    <x v="2"/>
    <x v="2"/>
    <x v="2"/>
    <x v="1"/>
    <x v="1"/>
    <x v="1"/>
    <x v="2"/>
    <x v="1"/>
    <x v="3"/>
    <x v="2"/>
    <x v="1"/>
    <x v="4"/>
    <x v="1"/>
    <x v="2"/>
    <x v="2"/>
    <x v="4"/>
    <x v="2"/>
    <x v="2"/>
    <x v="1"/>
    <n v="6.67"/>
    <n v="0"/>
    <n v="0"/>
    <n v="0"/>
  </r>
  <r>
    <m/>
    <x v="4"/>
    <x v="4"/>
    <x v="1"/>
    <m/>
    <m/>
    <m/>
    <x v="0"/>
    <m/>
    <x v="0"/>
    <m/>
    <m/>
    <m/>
    <m/>
    <m/>
    <m/>
    <m/>
    <m/>
    <m/>
    <m/>
    <m/>
    <m/>
    <x v="0"/>
    <x v="0"/>
    <x v="0"/>
    <m/>
    <m/>
    <x v="0"/>
    <m/>
    <m/>
    <m/>
    <m/>
    <m/>
    <m/>
    <x v="0"/>
    <x v="0"/>
    <x v="1"/>
    <x v="2"/>
    <x v="2"/>
    <x v="2"/>
    <x v="1"/>
    <x v="1"/>
    <x v="1"/>
    <x v="2"/>
    <x v="1"/>
    <x v="3"/>
    <x v="1"/>
    <x v="1"/>
    <x v="1"/>
    <x v="1"/>
    <x v="2"/>
    <x v="2"/>
    <x v="2"/>
    <x v="2"/>
    <x v="4"/>
    <x v="1"/>
    <n v="6.67"/>
    <n v="0"/>
    <n v="3.33"/>
    <n v="3.33"/>
  </r>
  <r>
    <m/>
    <x v="4"/>
    <x v="2"/>
    <x v="0"/>
    <m/>
    <m/>
    <m/>
    <x v="0"/>
    <m/>
    <x v="2"/>
    <m/>
    <m/>
    <m/>
    <m/>
    <m/>
    <m/>
    <m/>
    <m/>
    <m/>
    <m/>
    <m/>
    <m/>
    <x v="3"/>
    <x v="0"/>
    <x v="0"/>
    <m/>
    <m/>
    <x v="1"/>
    <m/>
    <m/>
    <m/>
    <m/>
    <m/>
    <m/>
    <x v="1"/>
    <x v="1"/>
    <x v="1"/>
    <x v="3"/>
    <x v="4"/>
    <x v="3"/>
    <x v="1"/>
    <x v="1"/>
    <x v="1"/>
    <x v="2"/>
    <x v="2"/>
    <x v="2"/>
    <x v="1"/>
    <x v="1"/>
    <x v="1"/>
    <x v="0"/>
    <x v="2"/>
    <x v="2"/>
    <x v="2"/>
    <x v="2"/>
    <x v="4"/>
    <x v="4"/>
    <n v="6.67"/>
    <n v="0"/>
    <n v="3.33"/>
    <n v="3.33"/>
  </r>
  <r>
    <m/>
    <x v="4"/>
    <x v="0"/>
    <x v="1"/>
    <m/>
    <m/>
    <m/>
    <x v="0"/>
    <m/>
    <x v="5"/>
    <m/>
    <m/>
    <m/>
    <m/>
    <m/>
    <m/>
    <m/>
    <m/>
    <m/>
    <m/>
    <m/>
    <m/>
    <x v="4"/>
    <x v="0"/>
    <x v="0"/>
    <m/>
    <m/>
    <x v="0"/>
    <m/>
    <m/>
    <m/>
    <m/>
    <m/>
    <m/>
    <x v="0"/>
    <x v="2"/>
    <x v="1"/>
    <x v="2"/>
    <x v="4"/>
    <x v="2"/>
    <x v="1"/>
    <x v="1"/>
    <x v="1"/>
    <x v="3"/>
    <x v="0"/>
    <x v="2"/>
    <x v="2"/>
    <x v="0"/>
    <x v="1"/>
    <x v="1"/>
    <x v="4"/>
    <x v="3"/>
    <x v="3"/>
    <x v="2"/>
    <x v="3"/>
    <x v="5"/>
    <n v="0"/>
    <m/>
    <n v="0"/>
    <n v="3.33"/>
  </r>
  <r>
    <m/>
    <x v="4"/>
    <x v="0"/>
    <x v="1"/>
    <m/>
    <m/>
    <m/>
    <x v="0"/>
    <m/>
    <x v="0"/>
    <m/>
    <m/>
    <m/>
    <m/>
    <m/>
    <m/>
    <m/>
    <m/>
    <m/>
    <m/>
    <m/>
    <m/>
    <x v="0"/>
    <x v="0"/>
    <x v="0"/>
    <m/>
    <m/>
    <x v="0"/>
    <m/>
    <m/>
    <m/>
    <m/>
    <m/>
    <m/>
    <x v="0"/>
    <x v="0"/>
    <x v="1"/>
    <x v="2"/>
    <x v="2"/>
    <x v="2"/>
    <x v="1"/>
    <x v="1"/>
    <x v="1"/>
    <x v="2"/>
    <x v="1"/>
    <x v="3"/>
    <x v="2"/>
    <x v="1"/>
    <x v="1"/>
    <x v="1"/>
    <x v="2"/>
    <x v="2"/>
    <x v="5"/>
    <x v="2"/>
    <x v="5"/>
    <x v="1"/>
    <n v="6.67"/>
    <n v="0"/>
    <n v="3.33"/>
    <n v="3.33"/>
  </r>
  <r>
    <m/>
    <x v="4"/>
    <x v="0"/>
    <x v="1"/>
    <m/>
    <m/>
    <m/>
    <x v="0"/>
    <m/>
    <x v="2"/>
    <m/>
    <m/>
    <m/>
    <m/>
    <m/>
    <m/>
    <m/>
    <m/>
    <m/>
    <m/>
    <m/>
    <m/>
    <x v="3"/>
    <x v="0"/>
    <x v="0"/>
    <m/>
    <m/>
    <x v="0"/>
    <m/>
    <m/>
    <m/>
    <m/>
    <m/>
    <m/>
    <x v="0"/>
    <x v="0"/>
    <x v="2"/>
    <x v="3"/>
    <x v="2"/>
    <x v="3"/>
    <x v="1"/>
    <x v="1"/>
    <x v="1"/>
    <x v="2"/>
    <x v="1"/>
    <x v="1"/>
    <x v="5"/>
    <x v="1"/>
    <x v="2"/>
    <x v="1"/>
    <x v="2"/>
    <x v="2"/>
    <x v="2"/>
    <x v="2"/>
    <x v="3"/>
    <x v="3"/>
    <n v="6.67"/>
    <n v="3.33"/>
    <n v="3.33"/>
    <n v="3.33"/>
  </r>
  <r>
    <m/>
    <x v="4"/>
    <x v="0"/>
    <x v="1"/>
    <m/>
    <m/>
    <m/>
    <x v="0"/>
    <m/>
    <x v="2"/>
    <m/>
    <m/>
    <m/>
    <m/>
    <m/>
    <m/>
    <m/>
    <m/>
    <m/>
    <m/>
    <m/>
    <m/>
    <x v="3"/>
    <x v="0"/>
    <x v="2"/>
    <m/>
    <m/>
    <x v="0"/>
    <m/>
    <m/>
    <m/>
    <m/>
    <m/>
    <m/>
    <x v="1"/>
    <x v="2"/>
    <x v="1"/>
    <x v="3"/>
    <x v="4"/>
    <x v="3"/>
    <x v="3"/>
    <x v="2"/>
    <x v="0"/>
    <x v="2"/>
    <x v="5"/>
    <x v="2"/>
    <x v="1"/>
    <x v="1"/>
    <x v="3"/>
    <x v="1"/>
    <x v="4"/>
    <x v="3"/>
    <x v="4"/>
    <x v="4"/>
    <x v="3"/>
    <x v="3"/>
    <n v="0"/>
    <n v="3.33"/>
    <n v="3.33"/>
    <n v="6.67"/>
  </r>
  <r>
    <m/>
    <x v="4"/>
    <x v="0"/>
    <x v="0"/>
    <m/>
    <m/>
    <m/>
    <x v="0"/>
    <m/>
    <x v="0"/>
    <m/>
    <m/>
    <m/>
    <m/>
    <m/>
    <m/>
    <m/>
    <m/>
    <m/>
    <m/>
    <m/>
    <m/>
    <x v="0"/>
    <x v="0"/>
    <x v="0"/>
    <m/>
    <m/>
    <x v="0"/>
    <m/>
    <m/>
    <m/>
    <m/>
    <m/>
    <m/>
    <x v="0"/>
    <x v="0"/>
    <x v="1"/>
    <x v="2"/>
    <x v="2"/>
    <x v="2"/>
    <x v="1"/>
    <x v="1"/>
    <x v="1"/>
    <x v="2"/>
    <x v="1"/>
    <x v="3"/>
    <x v="2"/>
    <x v="1"/>
    <x v="2"/>
    <x v="1"/>
    <x v="2"/>
    <x v="2"/>
    <x v="2"/>
    <x v="2"/>
    <x v="3"/>
    <x v="1"/>
    <n v="3.33"/>
    <n v="0"/>
    <n v="0"/>
    <n v="3.33"/>
  </r>
  <r>
    <m/>
    <x v="4"/>
    <x v="2"/>
    <x v="0"/>
    <m/>
    <m/>
    <m/>
    <x v="0"/>
    <m/>
    <x v="0"/>
    <m/>
    <m/>
    <m/>
    <m/>
    <m/>
    <m/>
    <m/>
    <m/>
    <m/>
    <m/>
    <m/>
    <m/>
    <x v="0"/>
    <x v="0"/>
    <x v="0"/>
    <m/>
    <m/>
    <x v="1"/>
    <m/>
    <m/>
    <m/>
    <m/>
    <m/>
    <m/>
    <x v="0"/>
    <x v="0"/>
    <x v="1"/>
    <x v="2"/>
    <x v="4"/>
    <x v="2"/>
    <x v="1"/>
    <x v="2"/>
    <x v="2"/>
    <x v="2"/>
    <x v="1"/>
    <x v="2"/>
    <x v="2"/>
    <x v="1"/>
    <x v="0"/>
    <x v="1"/>
    <x v="3"/>
    <x v="2"/>
    <x v="5"/>
    <x v="5"/>
    <x v="2"/>
    <x v="1"/>
    <n v="0"/>
    <n v="0"/>
    <n v="3.33"/>
    <n v="3.33"/>
  </r>
  <r>
    <m/>
    <x v="4"/>
    <x v="4"/>
    <x v="0"/>
    <m/>
    <m/>
    <m/>
    <x v="0"/>
    <m/>
    <x v="0"/>
    <m/>
    <m/>
    <m/>
    <m/>
    <m/>
    <m/>
    <m/>
    <m/>
    <m/>
    <m/>
    <m/>
    <m/>
    <x v="0"/>
    <x v="0"/>
    <x v="0"/>
    <m/>
    <m/>
    <x v="0"/>
    <m/>
    <m/>
    <m/>
    <m/>
    <m/>
    <m/>
    <x v="0"/>
    <x v="0"/>
    <x v="1"/>
    <x v="2"/>
    <x v="2"/>
    <x v="2"/>
    <x v="1"/>
    <x v="1"/>
    <x v="1"/>
    <x v="2"/>
    <x v="1"/>
    <x v="3"/>
    <x v="2"/>
    <x v="1"/>
    <x v="2"/>
    <x v="1"/>
    <x v="4"/>
    <x v="2"/>
    <x v="2"/>
    <x v="2"/>
    <x v="2"/>
    <x v="4"/>
    <n v="6.67"/>
    <n v="3.33"/>
    <n v="6.67"/>
    <n v="6.67"/>
  </r>
  <r>
    <m/>
    <x v="4"/>
    <x v="1"/>
    <x v="0"/>
    <m/>
    <m/>
    <m/>
    <x v="0"/>
    <m/>
    <x v="0"/>
    <m/>
    <m/>
    <m/>
    <m/>
    <m/>
    <m/>
    <m/>
    <m/>
    <m/>
    <m/>
    <m/>
    <m/>
    <x v="0"/>
    <x v="0"/>
    <x v="1"/>
    <m/>
    <m/>
    <x v="0"/>
    <m/>
    <m/>
    <m/>
    <m/>
    <m/>
    <m/>
    <x v="0"/>
    <x v="0"/>
    <x v="1"/>
    <x v="2"/>
    <x v="2"/>
    <x v="2"/>
    <x v="1"/>
    <x v="1"/>
    <x v="1"/>
    <x v="2"/>
    <x v="1"/>
    <x v="3"/>
    <x v="2"/>
    <x v="1"/>
    <x v="1"/>
    <x v="1"/>
    <x v="2"/>
    <x v="2"/>
    <x v="2"/>
    <x v="2"/>
    <x v="3"/>
    <x v="1"/>
    <n v="0"/>
    <n v="3.33"/>
    <n v="0"/>
    <n v="0"/>
  </r>
  <r>
    <m/>
    <x v="4"/>
    <x v="1"/>
    <x v="0"/>
    <m/>
    <m/>
    <m/>
    <x v="0"/>
    <m/>
    <x v="0"/>
    <m/>
    <m/>
    <m/>
    <m/>
    <m/>
    <m/>
    <m/>
    <m/>
    <m/>
    <m/>
    <m/>
    <m/>
    <x v="0"/>
    <x v="0"/>
    <x v="0"/>
    <m/>
    <m/>
    <x v="0"/>
    <m/>
    <m/>
    <m/>
    <m/>
    <m/>
    <m/>
    <x v="0"/>
    <x v="0"/>
    <x v="1"/>
    <x v="2"/>
    <x v="2"/>
    <x v="2"/>
    <x v="1"/>
    <x v="1"/>
    <x v="1"/>
    <x v="2"/>
    <x v="1"/>
    <x v="3"/>
    <x v="2"/>
    <x v="1"/>
    <x v="2"/>
    <x v="1"/>
    <x v="4"/>
    <x v="2"/>
    <x v="2"/>
    <x v="2"/>
    <x v="3"/>
    <x v="1"/>
    <n v="3.33"/>
    <n v="3.33"/>
    <n v="0"/>
    <n v="3.33"/>
  </r>
  <r>
    <m/>
    <x v="4"/>
    <x v="1"/>
    <x v="0"/>
    <m/>
    <m/>
    <m/>
    <x v="0"/>
    <m/>
    <x v="2"/>
    <m/>
    <m/>
    <m/>
    <m/>
    <m/>
    <m/>
    <m/>
    <m/>
    <m/>
    <m/>
    <m/>
    <m/>
    <x v="3"/>
    <x v="0"/>
    <x v="1"/>
    <m/>
    <m/>
    <x v="0"/>
    <m/>
    <m/>
    <m/>
    <m/>
    <m/>
    <m/>
    <x v="0"/>
    <x v="0"/>
    <x v="1"/>
    <x v="2"/>
    <x v="4"/>
    <x v="2"/>
    <x v="1"/>
    <x v="1"/>
    <x v="1"/>
    <x v="2"/>
    <x v="2"/>
    <x v="2"/>
    <x v="1"/>
    <x v="1"/>
    <x v="1"/>
    <x v="1"/>
    <x v="4"/>
    <x v="2"/>
    <x v="2"/>
    <x v="2"/>
    <x v="3"/>
    <x v="1"/>
    <n v="0"/>
    <n v="0"/>
    <n v="0"/>
    <n v="3.33"/>
  </r>
  <r>
    <m/>
    <x v="4"/>
    <x v="1"/>
    <x v="0"/>
    <m/>
    <m/>
    <m/>
    <x v="4"/>
    <m/>
    <x v="0"/>
    <m/>
    <m/>
    <m/>
    <m/>
    <m/>
    <m/>
    <m/>
    <m/>
    <m/>
    <m/>
    <m/>
    <m/>
    <x v="0"/>
    <x v="0"/>
    <x v="0"/>
    <m/>
    <m/>
    <x v="0"/>
    <m/>
    <m/>
    <m/>
    <m/>
    <m/>
    <m/>
    <x v="0"/>
    <x v="5"/>
    <x v="1"/>
    <x v="3"/>
    <x v="2"/>
    <x v="2"/>
    <x v="2"/>
    <x v="1"/>
    <x v="1"/>
    <x v="3"/>
    <x v="1"/>
    <x v="3"/>
    <x v="1"/>
    <x v="1"/>
    <x v="2"/>
    <x v="2"/>
    <x v="1"/>
    <x v="5"/>
    <x v="2"/>
    <x v="5"/>
    <x v="3"/>
    <x v="0"/>
    <n v="3.33"/>
    <n v="3.33"/>
    <n v="0"/>
    <n v="3.33"/>
  </r>
  <r>
    <m/>
    <x v="4"/>
    <x v="1"/>
    <x v="0"/>
    <m/>
    <m/>
    <m/>
    <x v="0"/>
    <m/>
    <x v="0"/>
    <m/>
    <m/>
    <m/>
    <m/>
    <m/>
    <m/>
    <m/>
    <m/>
    <m/>
    <m/>
    <m/>
    <m/>
    <x v="0"/>
    <x v="0"/>
    <x v="0"/>
    <m/>
    <m/>
    <x v="1"/>
    <m/>
    <m/>
    <m/>
    <m/>
    <m/>
    <m/>
    <x v="0"/>
    <x v="0"/>
    <x v="1"/>
    <x v="2"/>
    <x v="2"/>
    <x v="2"/>
    <x v="1"/>
    <x v="1"/>
    <x v="1"/>
    <x v="2"/>
    <x v="1"/>
    <x v="3"/>
    <x v="2"/>
    <x v="1"/>
    <x v="2"/>
    <x v="1"/>
    <x v="4"/>
    <x v="2"/>
    <x v="2"/>
    <x v="2"/>
    <x v="4"/>
    <x v="3"/>
    <n v="6.67"/>
    <n v="3.33"/>
    <n v="0"/>
    <n v="0"/>
  </r>
  <r>
    <m/>
    <x v="4"/>
    <x v="1"/>
    <x v="0"/>
    <m/>
    <m/>
    <m/>
    <x v="0"/>
    <m/>
    <x v="0"/>
    <m/>
    <m/>
    <m/>
    <m/>
    <m/>
    <m/>
    <m/>
    <m/>
    <m/>
    <m/>
    <m/>
    <m/>
    <x v="0"/>
    <x v="0"/>
    <x v="1"/>
    <m/>
    <m/>
    <x v="0"/>
    <m/>
    <m/>
    <m/>
    <m/>
    <m/>
    <m/>
    <x v="0"/>
    <x v="0"/>
    <x v="1"/>
    <x v="2"/>
    <x v="4"/>
    <x v="2"/>
    <x v="1"/>
    <x v="1"/>
    <x v="1"/>
    <x v="2"/>
    <x v="2"/>
    <x v="3"/>
    <x v="1"/>
    <x v="1"/>
    <x v="1"/>
    <x v="1"/>
    <x v="1"/>
    <x v="2"/>
    <x v="2"/>
    <x v="2"/>
    <x v="4"/>
    <x v="3"/>
    <n v="0"/>
    <n v="0"/>
    <n v="3.33"/>
    <n v="0"/>
  </r>
  <r>
    <m/>
    <x v="4"/>
    <x v="4"/>
    <x v="0"/>
    <m/>
    <m/>
    <m/>
    <x v="1"/>
    <m/>
    <x v="2"/>
    <m/>
    <m/>
    <m/>
    <m/>
    <m/>
    <m/>
    <m/>
    <m/>
    <m/>
    <m/>
    <m/>
    <m/>
    <x v="3"/>
    <x v="0"/>
    <x v="0"/>
    <m/>
    <m/>
    <x v="0"/>
    <m/>
    <m/>
    <m/>
    <m/>
    <m/>
    <m/>
    <x v="1"/>
    <x v="0"/>
    <x v="1"/>
    <x v="3"/>
    <x v="2"/>
    <x v="2"/>
    <x v="1"/>
    <x v="2"/>
    <x v="1"/>
    <x v="3"/>
    <x v="1"/>
    <x v="3"/>
    <x v="1"/>
    <x v="1"/>
    <x v="1"/>
    <x v="2"/>
    <x v="2"/>
    <x v="3"/>
    <x v="2"/>
    <x v="4"/>
    <x v="3"/>
    <x v="1"/>
    <n v="0"/>
    <n v="0"/>
    <n v="3.33"/>
    <n v="3.33"/>
  </r>
  <r>
    <m/>
    <x v="4"/>
    <x v="4"/>
    <x v="0"/>
    <m/>
    <m/>
    <m/>
    <x v="0"/>
    <m/>
    <x v="0"/>
    <m/>
    <m/>
    <m/>
    <m/>
    <m/>
    <m/>
    <m/>
    <m/>
    <m/>
    <m/>
    <m/>
    <m/>
    <x v="0"/>
    <x v="0"/>
    <x v="0"/>
    <m/>
    <m/>
    <x v="0"/>
    <m/>
    <m/>
    <m/>
    <m/>
    <m/>
    <m/>
    <x v="5"/>
    <x v="5"/>
    <x v="1"/>
    <x v="2"/>
    <x v="2"/>
    <x v="2"/>
    <x v="1"/>
    <x v="1"/>
    <x v="1"/>
    <x v="2"/>
    <x v="1"/>
    <x v="3"/>
    <x v="2"/>
    <x v="1"/>
    <x v="2"/>
    <x v="1"/>
    <x v="2"/>
    <x v="2"/>
    <x v="3"/>
    <x v="2"/>
    <x v="5"/>
    <x v="3"/>
    <n v="6.67"/>
    <n v="0"/>
    <n v="0"/>
    <n v="0"/>
  </r>
  <r>
    <m/>
    <x v="4"/>
    <x v="3"/>
    <x v="0"/>
    <m/>
    <m/>
    <m/>
    <x v="0"/>
    <m/>
    <x v="0"/>
    <m/>
    <m/>
    <m/>
    <m/>
    <m/>
    <m/>
    <m/>
    <m/>
    <m/>
    <m/>
    <m/>
    <m/>
    <x v="0"/>
    <x v="0"/>
    <x v="0"/>
    <m/>
    <m/>
    <x v="0"/>
    <m/>
    <m/>
    <m/>
    <m/>
    <m/>
    <m/>
    <x v="0"/>
    <x v="0"/>
    <x v="1"/>
    <x v="2"/>
    <x v="2"/>
    <x v="2"/>
    <x v="1"/>
    <x v="1"/>
    <x v="1"/>
    <x v="2"/>
    <x v="1"/>
    <x v="3"/>
    <x v="0"/>
    <x v="1"/>
    <x v="2"/>
    <x v="1"/>
    <x v="2"/>
    <x v="2"/>
    <x v="3"/>
    <x v="2"/>
    <x v="5"/>
    <x v="0"/>
    <n v="0"/>
    <n v="3.33"/>
    <n v="0"/>
    <n v="0"/>
  </r>
  <r>
    <m/>
    <x v="4"/>
    <x v="4"/>
    <x v="0"/>
    <m/>
    <m/>
    <m/>
    <x v="0"/>
    <m/>
    <x v="5"/>
    <m/>
    <m/>
    <m/>
    <m/>
    <m/>
    <m/>
    <m/>
    <m/>
    <m/>
    <m/>
    <m/>
    <m/>
    <x v="4"/>
    <x v="2"/>
    <x v="0"/>
    <m/>
    <m/>
    <x v="0"/>
    <m/>
    <m/>
    <m/>
    <m/>
    <m/>
    <m/>
    <x v="0"/>
    <x v="5"/>
    <x v="1"/>
    <x v="0"/>
    <x v="2"/>
    <x v="2"/>
    <x v="0"/>
    <x v="2"/>
    <x v="1"/>
    <x v="0"/>
    <x v="3"/>
    <x v="3"/>
    <x v="0"/>
    <x v="4"/>
    <x v="4"/>
    <x v="1"/>
    <x v="4"/>
    <x v="2"/>
    <x v="2"/>
    <x v="2"/>
    <x v="5"/>
    <x v="1"/>
    <n v="3.33"/>
    <n v="0"/>
    <n v="6.67"/>
    <n v="3.33"/>
  </r>
  <r>
    <m/>
    <x v="4"/>
    <x v="4"/>
    <x v="0"/>
    <m/>
    <m/>
    <m/>
    <x v="0"/>
    <m/>
    <x v="5"/>
    <m/>
    <m/>
    <m/>
    <m/>
    <m/>
    <m/>
    <m/>
    <m/>
    <m/>
    <m/>
    <m/>
    <m/>
    <x v="4"/>
    <x v="2"/>
    <x v="0"/>
    <m/>
    <m/>
    <x v="0"/>
    <m/>
    <m/>
    <m/>
    <m/>
    <m/>
    <m/>
    <x v="5"/>
    <x v="5"/>
    <x v="1"/>
    <x v="2"/>
    <x v="5"/>
    <x v="2"/>
    <x v="0"/>
    <x v="1"/>
    <x v="1"/>
    <x v="2"/>
    <x v="3"/>
    <x v="3"/>
    <x v="0"/>
    <x v="5"/>
    <x v="4"/>
    <x v="1"/>
    <x v="1"/>
    <x v="2"/>
    <x v="2"/>
    <x v="5"/>
    <x v="2"/>
    <x v="4"/>
    <n v="0"/>
    <n v="0"/>
    <n v="6.67"/>
    <n v="0"/>
  </r>
  <r>
    <m/>
    <x v="4"/>
    <x v="1"/>
    <x v="0"/>
    <m/>
    <m/>
    <m/>
    <x v="0"/>
    <m/>
    <x v="5"/>
    <m/>
    <m/>
    <m/>
    <m/>
    <m/>
    <m/>
    <m/>
    <m/>
    <m/>
    <m/>
    <m/>
    <m/>
    <x v="4"/>
    <x v="0"/>
    <x v="0"/>
    <m/>
    <m/>
    <x v="0"/>
    <m/>
    <m/>
    <m/>
    <m/>
    <m/>
    <m/>
    <x v="0"/>
    <x v="0"/>
    <x v="1"/>
    <x v="2"/>
    <x v="2"/>
    <x v="2"/>
    <x v="1"/>
    <x v="1"/>
    <x v="1"/>
    <x v="2"/>
    <x v="1"/>
    <x v="3"/>
    <x v="2"/>
    <x v="1"/>
    <x v="1"/>
    <x v="1"/>
    <x v="4"/>
    <x v="2"/>
    <x v="2"/>
    <x v="2"/>
    <x v="2"/>
    <x v="1"/>
    <n v="0"/>
    <n v="3.33"/>
    <n v="0"/>
    <n v="3.33"/>
  </r>
  <r>
    <m/>
    <x v="4"/>
    <x v="4"/>
    <x v="0"/>
    <m/>
    <m/>
    <m/>
    <x v="0"/>
    <m/>
    <x v="0"/>
    <m/>
    <m/>
    <m/>
    <m/>
    <m/>
    <m/>
    <m/>
    <m/>
    <m/>
    <m/>
    <m/>
    <m/>
    <x v="0"/>
    <x v="1"/>
    <x v="0"/>
    <m/>
    <m/>
    <x v="0"/>
    <m/>
    <m/>
    <m/>
    <m/>
    <m/>
    <m/>
    <x v="0"/>
    <x v="0"/>
    <x v="1"/>
    <x v="2"/>
    <x v="2"/>
    <x v="2"/>
    <x v="1"/>
    <x v="1"/>
    <x v="1"/>
    <x v="2"/>
    <x v="1"/>
    <x v="3"/>
    <x v="2"/>
    <x v="1"/>
    <x v="2"/>
    <x v="1"/>
    <x v="2"/>
    <x v="2"/>
    <x v="0"/>
    <x v="0"/>
    <x v="2"/>
    <x v="0"/>
    <n v="6.67"/>
    <n v="0"/>
    <n v="3.33"/>
    <n v="6.67"/>
  </r>
  <r>
    <m/>
    <x v="4"/>
    <x v="4"/>
    <x v="1"/>
    <m/>
    <m/>
    <m/>
    <x v="0"/>
    <m/>
    <x v="0"/>
    <m/>
    <m/>
    <m/>
    <m/>
    <m/>
    <m/>
    <m/>
    <m/>
    <m/>
    <m/>
    <m/>
    <m/>
    <x v="0"/>
    <x v="0"/>
    <x v="3"/>
    <m/>
    <m/>
    <x v="0"/>
    <m/>
    <m/>
    <m/>
    <m/>
    <m/>
    <m/>
    <x v="0"/>
    <x v="0"/>
    <x v="1"/>
    <x v="2"/>
    <x v="2"/>
    <x v="2"/>
    <x v="1"/>
    <x v="1"/>
    <x v="1"/>
    <x v="2"/>
    <x v="1"/>
    <x v="3"/>
    <x v="2"/>
    <x v="1"/>
    <x v="2"/>
    <x v="6"/>
    <x v="2"/>
    <x v="2"/>
    <x v="0"/>
    <x v="0"/>
    <x v="2"/>
    <x v="1"/>
    <n v="6.67"/>
    <n v="3.33"/>
    <n v="3.33"/>
    <n v="3.33"/>
  </r>
  <r>
    <m/>
    <x v="4"/>
    <x v="1"/>
    <x v="0"/>
    <m/>
    <m/>
    <m/>
    <x v="0"/>
    <m/>
    <x v="0"/>
    <m/>
    <m/>
    <m/>
    <m/>
    <m/>
    <m/>
    <m/>
    <m/>
    <m/>
    <m/>
    <m/>
    <m/>
    <x v="0"/>
    <x v="0"/>
    <x v="0"/>
    <m/>
    <m/>
    <x v="0"/>
    <m/>
    <m/>
    <m/>
    <m/>
    <m/>
    <m/>
    <x v="0"/>
    <x v="0"/>
    <x v="1"/>
    <x v="2"/>
    <x v="4"/>
    <x v="2"/>
    <x v="1"/>
    <x v="1"/>
    <x v="1"/>
    <x v="2"/>
    <x v="1"/>
    <x v="2"/>
    <x v="2"/>
    <x v="1"/>
    <x v="2"/>
    <x v="1"/>
    <x v="2"/>
    <x v="2"/>
    <x v="2"/>
    <x v="4"/>
    <x v="2"/>
    <x v="1"/>
    <n v="0"/>
    <n v="0"/>
    <n v="0"/>
    <n v="3.33"/>
  </r>
  <r>
    <m/>
    <x v="4"/>
    <x v="4"/>
    <x v="0"/>
    <m/>
    <m/>
    <m/>
    <x v="0"/>
    <m/>
    <x v="0"/>
    <m/>
    <m/>
    <m/>
    <m/>
    <m/>
    <m/>
    <m/>
    <m/>
    <m/>
    <m/>
    <m/>
    <m/>
    <x v="0"/>
    <x v="4"/>
    <x v="0"/>
    <m/>
    <m/>
    <x v="0"/>
    <m/>
    <m/>
    <m/>
    <m/>
    <m/>
    <m/>
    <x v="0"/>
    <x v="5"/>
    <x v="1"/>
    <x v="2"/>
    <x v="2"/>
    <x v="2"/>
    <x v="1"/>
    <x v="1"/>
    <x v="1"/>
    <x v="0"/>
    <x v="1"/>
    <x v="3"/>
    <x v="2"/>
    <x v="1"/>
    <x v="2"/>
    <x v="0"/>
    <x v="2"/>
    <x v="2"/>
    <x v="2"/>
    <x v="2"/>
    <x v="2"/>
    <x v="1"/>
    <n v="6.67"/>
    <n v="3.33"/>
    <n v="6.67"/>
    <n v="0"/>
  </r>
  <r>
    <m/>
    <x v="4"/>
    <x v="4"/>
    <x v="1"/>
    <m/>
    <m/>
    <m/>
    <x v="0"/>
    <m/>
    <x v="5"/>
    <m/>
    <m/>
    <m/>
    <m/>
    <m/>
    <m/>
    <m/>
    <m/>
    <m/>
    <m/>
    <m/>
    <m/>
    <x v="4"/>
    <x v="0"/>
    <x v="0"/>
    <m/>
    <m/>
    <x v="0"/>
    <m/>
    <m/>
    <m/>
    <m/>
    <m/>
    <m/>
    <x v="0"/>
    <x v="0"/>
    <x v="1"/>
    <x v="2"/>
    <x v="2"/>
    <x v="2"/>
    <x v="1"/>
    <x v="1"/>
    <x v="1"/>
    <x v="2"/>
    <x v="1"/>
    <x v="0"/>
    <x v="2"/>
    <x v="1"/>
    <x v="1"/>
    <x v="1"/>
    <x v="0"/>
    <x v="2"/>
    <x v="2"/>
    <x v="2"/>
    <x v="4"/>
    <x v="0"/>
    <n v="6.67"/>
    <n v="3.33"/>
    <n v="0"/>
    <n v="0"/>
  </r>
  <r>
    <m/>
    <x v="4"/>
    <x v="4"/>
    <x v="0"/>
    <m/>
    <m/>
    <m/>
    <x v="1"/>
    <m/>
    <x v="2"/>
    <m/>
    <m/>
    <m/>
    <m/>
    <m/>
    <m/>
    <m/>
    <m/>
    <m/>
    <m/>
    <m/>
    <m/>
    <x v="3"/>
    <x v="0"/>
    <x v="1"/>
    <m/>
    <m/>
    <x v="1"/>
    <m/>
    <m/>
    <m/>
    <m/>
    <m/>
    <m/>
    <x v="5"/>
    <x v="2"/>
    <x v="2"/>
    <x v="3"/>
    <x v="4"/>
    <x v="3"/>
    <x v="3"/>
    <x v="1"/>
    <x v="2"/>
    <x v="0"/>
    <x v="2"/>
    <x v="2"/>
    <x v="0"/>
    <x v="4"/>
    <x v="3"/>
    <x v="2"/>
    <x v="4"/>
    <x v="3"/>
    <x v="3"/>
    <x v="4"/>
    <x v="3"/>
    <x v="0"/>
    <n v="0"/>
    <n v="0"/>
    <n v="0"/>
    <n v="3.33"/>
  </r>
  <r>
    <m/>
    <x v="4"/>
    <x v="4"/>
    <x v="1"/>
    <m/>
    <m/>
    <m/>
    <x v="0"/>
    <m/>
    <x v="0"/>
    <m/>
    <m/>
    <m/>
    <m/>
    <m/>
    <m/>
    <m/>
    <m/>
    <m/>
    <m/>
    <m/>
    <m/>
    <x v="0"/>
    <x v="0"/>
    <x v="0"/>
    <m/>
    <m/>
    <x v="0"/>
    <m/>
    <m/>
    <m/>
    <m/>
    <m/>
    <m/>
    <x v="0"/>
    <x v="2"/>
    <x v="1"/>
    <x v="3"/>
    <x v="2"/>
    <x v="3"/>
    <x v="1"/>
    <x v="1"/>
    <x v="1"/>
    <x v="3"/>
    <x v="1"/>
    <x v="2"/>
    <x v="2"/>
    <x v="1"/>
    <x v="1"/>
    <x v="1"/>
    <x v="4"/>
    <x v="3"/>
    <x v="3"/>
    <x v="2"/>
    <x v="4"/>
    <x v="0"/>
    <n v="6.67"/>
    <n v="3.33"/>
    <n v="0"/>
    <n v="3.33"/>
  </r>
  <r>
    <m/>
    <x v="4"/>
    <x v="4"/>
    <x v="1"/>
    <m/>
    <m/>
    <m/>
    <x v="0"/>
    <m/>
    <x v="2"/>
    <m/>
    <m/>
    <m/>
    <m/>
    <m/>
    <m/>
    <m/>
    <m/>
    <m/>
    <m/>
    <m/>
    <m/>
    <x v="3"/>
    <x v="0"/>
    <x v="0"/>
    <m/>
    <m/>
    <x v="0"/>
    <m/>
    <m/>
    <m/>
    <m/>
    <m/>
    <m/>
    <x v="0"/>
    <x v="0"/>
    <x v="2"/>
    <x v="2"/>
    <x v="2"/>
    <x v="2"/>
    <x v="1"/>
    <x v="1"/>
    <x v="2"/>
    <x v="2"/>
    <x v="1"/>
    <x v="2"/>
    <x v="2"/>
    <x v="1"/>
    <x v="2"/>
    <x v="1"/>
    <x v="2"/>
    <x v="2"/>
    <x v="2"/>
    <x v="2"/>
    <x v="3"/>
    <x v="1"/>
    <n v="3.33"/>
    <n v="0"/>
    <n v="0"/>
    <n v="3.33"/>
  </r>
  <r>
    <m/>
    <x v="4"/>
    <x v="4"/>
    <x v="1"/>
    <m/>
    <m/>
    <m/>
    <x v="0"/>
    <m/>
    <x v="2"/>
    <m/>
    <m/>
    <m/>
    <m/>
    <m/>
    <m/>
    <m/>
    <m/>
    <m/>
    <m/>
    <m/>
    <m/>
    <x v="3"/>
    <x v="0"/>
    <x v="0"/>
    <m/>
    <m/>
    <x v="2"/>
    <m/>
    <m/>
    <m/>
    <m/>
    <m/>
    <m/>
    <x v="0"/>
    <x v="0"/>
    <x v="1"/>
    <x v="2"/>
    <x v="2"/>
    <x v="2"/>
    <x v="1"/>
    <x v="1"/>
    <x v="1"/>
    <x v="2"/>
    <x v="1"/>
    <x v="0"/>
    <x v="2"/>
    <x v="1"/>
    <x v="2"/>
    <x v="1"/>
    <x v="4"/>
    <x v="2"/>
    <x v="2"/>
    <x v="2"/>
    <x v="2"/>
    <x v="0"/>
    <n v="3.33"/>
    <n v="3.33"/>
    <n v="0"/>
    <n v="6.67"/>
  </r>
  <r>
    <m/>
    <x v="4"/>
    <x v="4"/>
    <x v="0"/>
    <m/>
    <m/>
    <m/>
    <x v="0"/>
    <m/>
    <x v="0"/>
    <m/>
    <m/>
    <m/>
    <m/>
    <m/>
    <m/>
    <m/>
    <m/>
    <m/>
    <m/>
    <m/>
    <m/>
    <x v="0"/>
    <x v="4"/>
    <x v="5"/>
    <m/>
    <m/>
    <x v="2"/>
    <m/>
    <m/>
    <m/>
    <m/>
    <m/>
    <m/>
    <x v="5"/>
    <x v="5"/>
    <x v="0"/>
    <x v="0"/>
    <x v="0"/>
    <x v="0"/>
    <x v="0"/>
    <x v="0"/>
    <x v="0"/>
    <x v="0"/>
    <x v="0"/>
    <x v="0"/>
    <x v="0"/>
    <x v="0"/>
    <x v="0"/>
    <x v="0"/>
    <x v="0"/>
    <x v="0"/>
    <x v="0"/>
    <x v="0"/>
    <x v="4"/>
    <x v="0"/>
    <m/>
    <n v="3.33"/>
    <m/>
    <m/>
  </r>
  <r>
    <m/>
    <x v="4"/>
    <x v="4"/>
    <x v="3"/>
    <m/>
    <m/>
    <m/>
    <x v="4"/>
    <m/>
    <x v="5"/>
    <m/>
    <m/>
    <m/>
    <m/>
    <m/>
    <m/>
    <m/>
    <m/>
    <m/>
    <m/>
    <m/>
    <m/>
    <x v="4"/>
    <x v="4"/>
    <x v="5"/>
    <m/>
    <m/>
    <x v="2"/>
    <m/>
    <m/>
    <m/>
    <m/>
    <m/>
    <m/>
    <x v="5"/>
    <x v="5"/>
    <x v="0"/>
    <x v="0"/>
    <x v="0"/>
    <x v="0"/>
    <x v="0"/>
    <x v="0"/>
    <x v="0"/>
    <x v="0"/>
    <x v="0"/>
    <x v="0"/>
    <x v="0"/>
    <x v="0"/>
    <x v="0"/>
    <x v="0"/>
    <x v="0"/>
    <x v="0"/>
    <x v="0"/>
    <x v="0"/>
    <x v="0"/>
    <x v="0"/>
    <m/>
    <m/>
    <m/>
    <m/>
  </r>
  <r>
    <m/>
    <x v="4"/>
    <x v="0"/>
    <x v="0"/>
    <m/>
    <m/>
    <m/>
    <x v="0"/>
    <m/>
    <x v="2"/>
    <m/>
    <m/>
    <m/>
    <m/>
    <m/>
    <m/>
    <m/>
    <m/>
    <m/>
    <m/>
    <m/>
    <m/>
    <x v="3"/>
    <x v="0"/>
    <x v="0"/>
    <m/>
    <m/>
    <x v="0"/>
    <m/>
    <m/>
    <m/>
    <m/>
    <m/>
    <m/>
    <x v="0"/>
    <x v="0"/>
    <x v="1"/>
    <x v="2"/>
    <x v="2"/>
    <x v="2"/>
    <x v="1"/>
    <x v="1"/>
    <x v="1"/>
    <x v="2"/>
    <x v="1"/>
    <x v="3"/>
    <x v="2"/>
    <x v="1"/>
    <x v="2"/>
    <x v="1"/>
    <x v="2"/>
    <x v="3"/>
    <x v="2"/>
    <x v="2"/>
    <x v="3"/>
    <x v="1"/>
    <n v="6.67"/>
    <n v="3.33"/>
    <n v="3.33"/>
    <n v="0"/>
  </r>
  <r>
    <m/>
    <x v="4"/>
    <x v="0"/>
    <x v="0"/>
    <m/>
    <m/>
    <m/>
    <x v="0"/>
    <m/>
    <x v="4"/>
    <m/>
    <m/>
    <m/>
    <m/>
    <m/>
    <m/>
    <m/>
    <m/>
    <m/>
    <m/>
    <m/>
    <m/>
    <x v="5"/>
    <x v="0"/>
    <x v="0"/>
    <m/>
    <m/>
    <x v="0"/>
    <m/>
    <m/>
    <m/>
    <m/>
    <m/>
    <m/>
    <x v="0"/>
    <x v="1"/>
    <x v="1"/>
    <x v="0"/>
    <x v="4"/>
    <x v="2"/>
    <x v="1"/>
    <x v="1"/>
    <x v="1"/>
    <x v="2"/>
    <x v="1"/>
    <x v="2"/>
    <x v="0"/>
    <x v="1"/>
    <x v="2"/>
    <x v="1"/>
    <x v="3"/>
    <x v="2"/>
    <x v="2"/>
    <x v="4"/>
    <x v="0"/>
    <x v="4"/>
    <n v="6.67"/>
    <n v="3.33"/>
    <n v="6.67"/>
    <n v="6.67"/>
  </r>
  <r>
    <m/>
    <x v="4"/>
    <x v="1"/>
    <x v="1"/>
    <m/>
    <m/>
    <m/>
    <x v="0"/>
    <m/>
    <x v="0"/>
    <m/>
    <m/>
    <m/>
    <m/>
    <m/>
    <m/>
    <m/>
    <m/>
    <m/>
    <m/>
    <m/>
    <m/>
    <x v="0"/>
    <x v="0"/>
    <x v="0"/>
    <m/>
    <m/>
    <x v="0"/>
    <m/>
    <m/>
    <m/>
    <m/>
    <m/>
    <m/>
    <x v="0"/>
    <x v="0"/>
    <x v="1"/>
    <x v="2"/>
    <x v="4"/>
    <x v="2"/>
    <x v="1"/>
    <x v="1"/>
    <x v="1"/>
    <x v="2"/>
    <x v="2"/>
    <x v="3"/>
    <x v="1"/>
    <x v="1"/>
    <x v="3"/>
    <x v="1"/>
    <x v="4"/>
    <x v="2"/>
    <x v="2"/>
    <x v="2"/>
    <x v="4"/>
    <x v="1"/>
    <n v="3.33"/>
    <n v="0"/>
    <n v="0"/>
    <n v="3.33"/>
  </r>
  <r>
    <m/>
    <x v="4"/>
    <x v="1"/>
    <x v="0"/>
    <m/>
    <m/>
    <m/>
    <x v="0"/>
    <m/>
    <x v="0"/>
    <m/>
    <m/>
    <m/>
    <m/>
    <m/>
    <m/>
    <m/>
    <m/>
    <m/>
    <m/>
    <m/>
    <m/>
    <x v="0"/>
    <x v="0"/>
    <x v="0"/>
    <m/>
    <m/>
    <x v="0"/>
    <m/>
    <m/>
    <m/>
    <m/>
    <m/>
    <m/>
    <x v="0"/>
    <x v="0"/>
    <x v="1"/>
    <x v="2"/>
    <x v="2"/>
    <x v="2"/>
    <x v="1"/>
    <x v="1"/>
    <x v="1"/>
    <x v="2"/>
    <x v="1"/>
    <x v="0"/>
    <x v="1"/>
    <x v="1"/>
    <x v="1"/>
    <x v="1"/>
    <x v="4"/>
    <x v="3"/>
    <x v="3"/>
    <x v="2"/>
    <x v="3"/>
    <x v="1"/>
    <n v="6.67"/>
    <n v="3.33"/>
    <n v="0"/>
    <n v="3.33"/>
  </r>
  <r>
    <m/>
    <x v="4"/>
    <x v="1"/>
    <x v="0"/>
    <m/>
    <m/>
    <m/>
    <x v="0"/>
    <m/>
    <x v="0"/>
    <m/>
    <m/>
    <m/>
    <m/>
    <m/>
    <m/>
    <m/>
    <m/>
    <m/>
    <m/>
    <m/>
    <m/>
    <x v="0"/>
    <x v="0"/>
    <x v="0"/>
    <m/>
    <m/>
    <x v="0"/>
    <m/>
    <m/>
    <m/>
    <m/>
    <m/>
    <m/>
    <x v="0"/>
    <x v="0"/>
    <x v="1"/>
    <x v="2"/>
    <x v="4"/>
    <x v="2"/>
    <x v="1"/>
    <x v="1"/>
    <x v="1"/>
    <x v="2"/>
    <x v="1"/>
    <x v="3"/>
    <x v="2"/>
    <x v="1"/>
    <x v="1"/>
    <x v="1"/>
    <x v="2"/>
    <x v="3"/>
    <x v="2"/>
    <x v="2"/>
    <x v="4"/>
    <x v="1"/>
    <n v="6.67"/>
    <n v="3.33"/>
    <n v="0"/>
    <n v="3.33"/>
  </r>
  <r>
    <m/>
    <x v="4"/>
    <x v="2"/>
    <x v="2"/>
    <m/>
    <m/>
    <m/>
    <x v="1"/>
    <m/>
    <x v="5"/>
    <m/>
    <m/>
    <m/>
    <m/>
    <m/>
    <m/>
    <m/>
    <m/>
    <m/>
    <m/>
    <m/>
    <m/>
    <x v="4"/>
    <x v="4"/>
    <x v="2"/>
    <m/>
    <m/>
    <x v="1"/>
    <m/>
    <m/>
    <m/>
    <m/>
    <m/>
    <m/>
    <x v="1"/>
    <x v="0"/>
    <x v="2"/>
    <x v="0"/>
    <x v="4"/>
    <x v="2"/>
    <x v="3"/>
    <x v="2"/>
    <x v="1"/>
    <x v="2"/>
    <x v="0"/>
    <x v="2"/>
    <x v="0"/>
    <x v="0"/>
    <x v="1"/>
    <x v="4"/>
    <x v="4"/>
    <x v="3"/>
    <x v="4"/>
    <x v="2"/>
    <x v="4"/>
    <x v="4"/>
    <n v="6.67"/>
    <n v="3.33"/>
    <n v="0"/>
    <n v="3.33"/>
  </r>
  <r>
    <m/>
    <x v="4"/>
    <x v="1"/>
    <x v="0"/>
    <m/>
    <m/>
    <m/>
    <x v="0"/>
    <m/>
    <x v="2"/>
    <m/>
    <m/>
    <m/>
    <m/>
    <m/>
    <m/>
    <m/>
    <m/>
    <m/>
    <m/>
    <m/>
    <m/>
    <x v="3"/>
    <x v="0"/>
    <x v="0"/>
    <m/>
    <m/>
    <x v="0"/>
    <m/>
    <m/>
    <m/>
    <m/>
    <m/>
    <m/>
    <x v="2"/>
    <x v="4"/>
    <x v="2"/>
    <x v="3"/>
    <x v="4"/>
    <x v="2"/>
    <x v="1"/>
    <x v="1"/>
    <x v="1"/>
    <x v="2"/>
    <x v="2"/>
    <x v="2"/>
    <x v="1"/>
    <x v="1"/>
    <x v="3"/>
    <x v="1"/>
    <x v="1"/>
    <x v="5"/>
    <x v="3"/>
    <x v="4"/>
    <x v="4"/>
    <x v="1"/>
    <n v="6.67"/>
    <n v="3.33"/>
    <n v="0"/>
    <n v="3.33"/>
  </r>
  <r>
    <m/>
    <x v="4"/>
    <x v="4"/>
    <x v="0"/>
    <m/>
    <m/>
    <m/>
    <x v="0"/>
    <m/>
    <x v="0"/>
    <m/>
    <m/>
    <m/>
    <m/>
    <m/>
    <m/>
    <m/>
    <m/>
    <m/>
    <m/>
    <m/>
    <m/>
    <x v="0"/>
    <x v="0"/>
    <x v="0"/>
    <m/>
    <m/>
    <x v="0"/>
    <m/>
    <m/>
    <m/>
    <m/>
    <m/>
    <m/>
    <x v="0"/>
    <x v="0"/>
    <x v="1"/>
    <x v="2"/>
    <x v="2"/>
    <x v="2"/>
    <x v="1"/>
    <x v="1"/>
    <x v="1"/>
    <x v="3"/>
    <x v="1"/>
    <x v="3"/>
    <x v="2"/>
    <x v="1"/>
    <x v="1"/>
    <x v="1"/>
    <x v="4"/>
    <x v="2"/>
    <x v="2"/>
    <x v="0"/>
    <x v="2"/>
    <x v="1"/>
    <m/>
    <n v="0"/>
    <n v="0"/>
    <n v="3.33"/>
  </r>
  <r>
    <m/>
    <x v="4"/>
    <x v="1"/>
    <x v="0"/>
    <m/>
    <m/>
    <m/>
    <x v="1"/>
    <m/>
    <x v="2"/>
    <m/>
    <m/>
    <m/>
    <m/>
    <m/>
    <m/>
    <m/>
    <m/>
    <m/>
    <m/>
    <m/>
    <m/>
    <x v="3"/>
    <x v="0"/>
    <x v="1"/>
    <m/>
    <m/>
    <x v="1"/>
    <m/>
    <m/>
    <m/>
    <m/>
    <m/>
    <m/>
    <x v="1"/>
    <x v="4"/>
    <x v="2"/>
    <x v="3"/>
    <x v="4"/>
    <x v="3"/>
    <x v="3"/>
    <x v="1"/>
    <x v="1"/>
    <x v="0"/>
    <x v="5"/>
    <x v="5"/>
    <x v="1"/>
    <x v="1"/>
    <x v="3"/>
    <x v="1"/>
    <x v="3"/>
    <x v="4"/>
    <x v="3"/>
    <x v="1"/>
    <x v="3"/>
    <x v="3"/>
    <n v="6.67"/>
    <n v="3.33"/>
    <n v="6.67"/>
    <n v="3.33"/>
  </r>
  <r>
    <m/>
    <x v="4"/>
    <x v="4"/>
    <x v="1"/>
    <m/>
    <m/>
    <m/>
    <x v="0"/>
    <m/>
    <x v="2"/>
    <m/>
    <m/>
    <m/>
    <m/>
    <m/>
    <m/>
    <m/>
    <m/>
    <m/>
    <m/>
    <m/>
    <m/>
    <x v="3"/>
    <x v="0"/>
    <x v="0"/>
    <m/>
    <m/>
    <x v="2"/>
    <m/>
    <m/>
    <m/>
    <m/>
    <m/>
    <m/>
    <x v="0"/>
    <x v="5"/>
    <x v="1"/>
    <x v="2"/>
    <x v="2"/>
    <x v="2"/>
    <x v="3"/>
    <x v="0"/>
    <x v="1"/>
    <x v="0"/>
    <x v="1"/>
    <x v="2"/>
    <x v="1"/>
    <x v="1"/>
    <x v="1"/>
    <x v="0"/>
    <x v="1"/>
    <x v="2"/>
    <x v="0"/>
    <x v="0"/>
    <x v="3"/>
    <x v="0"/>
    <n v="6.67"/>
    <n v="3.33"/>
    <n v="3.33"/>
    <n v="3.33"/>
  </r>
  <r>
    <m/>
    <x v="4"/>
    <x v="4"/>
    <x v="0"/>
    <m/>
    <m/>
    <m/>
    <x v="0"/>
    <m/>
    <x v="2"/>
    <m/>
    <m/>
    <m/>
    <m/>
    <m/>
    <m/>
    <m/>
    <m/>
    <m/>
    <m/>
    <m/>
    <m/>
    <x v="3"/>
    <x v="2"/>
    <x v="0"/>
    <m/>
    <m/>
    <x v="1"/>
    <m/>
    <m/>
    <m/>
    <m/>
    <m/>
    <m/>
    <x v="0"/>
    <x v="0"/>
    <x v="1"/>
    <x v="2"/>
    <x v="2"/>
    <x v="2"/>
    <x v="1"/>
    <x v="1"/>
    <x v="1"/>
    <x v="2"/>
    <x v="1"/>
    <x v="2"/>
    <x v="2"/>
    <x v="1"/>
    <x v="1"/>
    <x v="1"/>
    <x v="4"/>
    <x v="2"/>
    <x v="2"/>
    <x v="4"/>
    <x v="2"/>
    <x v="1"/>
    <n v="3.33"/>
    <n v="0"/>
    <n v="3.33"/>
    <n v="3.33"/>
  </r>
  <r>
    <m/>
    <x v="4"/>
    <x v="4"/>
    <x v="1"/>
    <m/>
    <m/>
    <m/>
    <x v="4"/>
    <m/>
    <x v="5"/>
    <m/>
    <m/>
    <m/>
    <m/>
    <m/>
    <m/>
    <m/>
    <m/>
    <m/>
    <m/>
    <m/>
    <m/>
    <x v="4"/>
    <x v="0"/>
    <x v="2"/>
    <m/>
    <m/>
    <x v="0"/>
    <m/>
    <m/>
    <m/>
    <m/>
    <m/>
    <m/>
    <x v="1"/>
    <x v="1"/>
    <x v="1"/>
    <x v="0"/>
    <x v="4"/>
    <x v="3"/>
    <x v="5"/>
    <x v="0"/>
    <x v="1"/>
    <x v="3"/>
    <x v="1"/>
    <x v="1"/>
    <x v="0"/>
    <x v="2"/>
    <x v="4"/>
    <x v="1"/>
    <x v="0"/>
    <x v="0"/>
    <x v="0"/>
    <x v="0"/>
    <x v="0"/>
    <x v="1"/>
    <n v="6.67"/>
    <n v="3.33"/>
    <n v="6.67"/>
    <n v="3.33"/>
  </r>
  <r>
    <m/>
    <x v="4"/>
    <x v="1"/>
    <x v="0"/>
    <m/>
    <m/>
    <m/>
    <x v="1"/>
    <m/>
    <x v="2"/>
    <m/>
    <m/>
    <m/>
    <m/>
    <m/>
    <m/>
    <m/>
    <m/>
    <m/>
    <m/>
    <m/>
    <m/>
    <x v="3"/>
    <x v="0"/>
    <x v="0"/>
    <m/>
    <m/>
    <x v="0"/>
    <m/>
    <m/>
    <m/>
    <m/>
    <m/>
    <m/>
    <x v="4"/>
    <x v="1"/>
    <x v="2"/>
    <x v="3"/>
    <x v="2"/>
    <x v="2"/>
    <x v="1"/>
    <x v="1"/>
    <x v="1"/>
    <x v="2"/>
    <x v="2"/>
    <x v="5"/>
    <x v="2"/>
    <x v="1"/>
    <x v="3"/>
    <x v="1"/>
    <x v="4"/>
    <x v="4"/>
    <x v="3"/>
    <x v="4"/>
    <x v="4"/>
    <x v="1"/>
    <n v="6.67"/>
    <n v="3.33"/>
    <n v="6.67"/>
    <n v="6.67"/>
  </r>
  <r>
    <m/>
    <x v="4"/>
    <x v="4"/>
    <x v="1"/>
    <m/>
    <m/>
    <m/>
    <x v="0"/>
    <m/>
    <x v="0"/>
    <m/>
    <m/>
    <m/>
    <m/>
    <m/>
    <m/>
    <m/>
    <m/>
    <m/>
    <m/>
    <m/>
    <m/>
    <x v="0"/>
    <x v="2"/>
    <x v="0"/>
    <m/>
    <m/>
    <x v="1"/>
    <m/>
    <m/>
    <m/>
    <m/>
    <m/>
    <m/>
    <x v="0"/>
    <x v="0"/>
    <x v="1"/>
    <x v="2"/>
    <x v="2"/>
    <x v="2"/>
    <x v="3"/>
    <x v="1"/>
    <x v="1"/>
    <x v="2"/>
    <x v="1"/>
    <x v="2"/>
    <x v="2"/>
    <x v="1"/>
    <x v="1"/>
    <x v="1"/>
    <x v="4"/>
    <x v="2"/>
    <x v="0"/>
    <x v="0"/>
    <x v="3"/>
    <x v="0"/>
    <n v="6.67"/>
    <n v="3.33"/>
    <n v="0"/>
    <n v="3.33"/>
  </r>
  <r>
    <m/>
    <x v="4"/>
    <x v="4"/>
    <x v="0"/>
    <m/>
    <m/>
    <m/>
    <x v="0"/>
    <m/>
    <x v="2"/>
    <m/>
    <m/>
    <m/>
    <m/>
    <m/>
    <m/>
    <m/>
    <m/>
    <m/>
    <m/>
    <m/>
    <m/>
    <x v="3"/>
    <x v="4"/>
    <x v="5"/>
    <m/>
    <m/>
    <x v="2"/>
    <m/>
    <m/>
    <m/>
    <m/>
    <m/>
    <m/>
    <x v="5"/>
    <x v="5"/>
    <x v="1"/>
    <x v="3"/>
    <x v="2"/>
    <x v="2"/>
    <x v="1"/>
    <x v="0"/>
    <x v="0"/>
    <x v="0"/>
    <x v="0"/>
    <x v="0"/>
    <x v="0"/>
    <x v="0"/>
    <x v="0"/>
    <x v="0"/>
    <x v="0"/>
    <x v="0"/>
    <x v="0"/>
    <x v="0"/>
    <x v="0"/>
    <x v="0"/>
    <m/>
    <m/>
    <m/>
    <m/>
  </r>
  <r>
    <m/>
    <x v="4"/>
    <x v="4"/>
    <x v="0"/>
    <m/>
    <m/>
    <m/>
    <x v="0"/>
    <m/>
    <x v="0"/>
    <m/>
    <m/>
    <m/>
    <m/>
    <m/>
    <m/>
    <m/>
    <m/>
    <m/>
    <m/>
    <m/>
    <m/>
    <x v="0"/>
    <x v="0"/>
    <x v="0"/>
    <m/>
    <m/>
    <x v="0"/>
    <m/>
    <m/>
    <m/>
    <m/>
    <m/>
    <m/>
    <x v="0"/>
    <x v="5"/>
    <x v="1"/>
    <x v="2"/>
    <x v="2"/>
    <x v="2"/>
    <x v="1"/>
    <x v="1"/>
    <x v="1"/>
    <x v="2"/>
    <x v="1"/>
    <x v="2"/>
    <x v="2"/>
    <x v="1"/>
    <x v="1"/>
    <x v="1"/>
    <x v="2"/>
    <x v="2"/>
    <x v="2"/>
    <x v="2"/>
    <x v="2"/>
    <x v="3"/>
    <n v="3.33"/>
    <n v="0"/>
    <n v="3.33"/>
    <n v="6.67"/>
  </r>
  <r>
    <m/>
    <x v="4"/>
    <x v="4"/>
    <x v="0"/>
    <m/>
    <m/>
    <m/>
    <x v="0"/>
    <m/>
    <x v="0"/>
    <m/>
    <m/>
    <m/>
    <m/>
    <m/>
    <m/>
    <m/>
    <m/>
    <m/>
    <m/>
    <m/>
    <m/>
    <x v="0"/>
    <x v="0"/>
    <x v="0"/>
    <m/>
    <m/>
    <x v="0"/>
    <m/>
    <m/>
    <m/>
    <m/>
    <m/>
    <m/>
    <x v="0"/>
    <x v="0"/>
    <x v="1"/>
    <x v="2"/>
    <x v="2"/>
    <x v="2"/>
    <x v="1"/>
    <x v="0"/>
    <x v="1"/>
    <x v="0"/>
    <x v="2"/>
    <x v="2"/>
    <x v="2"/>
    <x v="1"/>
    <x v="2"/>
    <x v="1"/>
    <x v="0"/>
    <x v="2"/>
    <x v="2"/>
    <x v="2"/>
    <x v="2"/>
    <x v="3"/>
    <n v="0"/>
    <n v="3.33"/>
    <n v="0"/>
    <n v="0"/>
  </r>
  <r>
    <m/>
    <x v="4"/>
    <x v="4"/>
    <x v="1"/>
    <m/>
    <m/>
    <m/>
    <x v="0"/>
    <m/>
    <x v="2"/>
    <m/>
    <m/>
    <m/>
    <m/>
    <m/>
    <m/>
    <m/>
    <m/>
    <m/>
    <m/>
    <m/>
    <m/>
    <x v="3"/>
    <x v="0"/>
    <x v="0"/>
    <m/>
    <m/>
    <x v="0"/>
    <m/>
    <m/>
    <m/>
    <m/>
    <m/>
    <m/>
    <x v="0"/>
    <x v="2"/>
    <x v="1"/>
    <x v="2"/>
    <x v="2"/>
    <x v="2"/>
    <x v="1"/>
    <x v="1"/>
    <x v="1"/>
    <x v="2"/>
    <x v="2"/>
    <x v="2"/>
    <x v="2"/>
    <x v="1"/>
    <x v="4"/>
    <x v="2"/>
    <x v="2"/>
    <x v="3"/>
    <x v="0"/>
    <x v="0"/>
    <x v="2"/>
    <x v="5"/>
    <n v="0"/>
    <n v="3.33"/>
    <n v="3.33"/>
    <n v="3.33"/>
  </r>
  <r>
    <m/>
    <x v="4"/>
    <x v="4"/>
    <x v="0"/>
    <m/>
    <m/>
    <m/>
    <x v="1"/>
    <m/>
    <x v="0"/>
    <m/>
    <m/>
    <m/>
    <m/>
    <m/>
    <m/>
    <m/>
    <m/>
    <m/>
    <m/>
    <m/>
    <m/>
    <x v="0"/>
    <x v="5"/>
    <x v="0"/>
    <m/>
    <m/>
    <x v="5"/>
    <m/>
    <m/>
    <m/>
    <m/>
    <m/>
    <m/>
    <x v="5"/>
    <x v="1"/>
    <x v="2"/>
    <x v="3"/>
    <x v="4"/>
    <x v="3"/>
    <x v="3"/>
    <x v="1"/>
    <x v="2"/>
    <x v="2"/>
    <x v="2"/>
    <x v="3"/>
    <x v="2"/>
    <x v="1"/>
    <x v="1"/>
    <x v="1"/>
    <x v="0"/>
    <x v="3"/>
    <x v="0"/>
    <x v="0"/>
    <x v="4"/>
    <x v="4"/>
    <n v="3.33"/>
    <n v="3.33"/>
    <n v="6.67"/>
    <n v="3.33"/>
  </r>
  <r>
    <m/>
    <x v="4"/>
    <x v="4"/>
    <x v="0"/>
    <m/>
    <m/>
    <m/>
    <x v="0"/>
    <m/>
    <x v="2"/>
    <m/>
    <m/>
    <m/>
    <m/>
    <m/>
    <m/>
    <m/>
    <m/>
    <m/>
    <m/>
    <m/>
    <m/>
    <x v="3"/>
    <x v="2"/>
    <x v="0"/>
    <m/>
    <m/>
    <x v="0"/>
    <m/>
    <m/>
    <m/>
    <m/>
    <m/>
    <m/>
    <x v="0"/>
    <x v="0"/>
    <x v="1"/>
    <x v="2"/>
    <x v="2"/>
    <x v="2"/>
    <x v="1"/>
    <x v="1"/>
    <x v="1"/>
    <x v="2"/>
    <x v="1"/>
    <x v="2"/>
    <x v="2"/>
    <x v="1"/>
    <x v="2"/>
    <x v="1"/>
    <x v="2"/>
    <x v="2"/>
    <x v="2"/>
    <x v="2"/>
    <x v="2"/>
    <x v="1"/>
    <n v="3.33"/>
    <n v="0"/>
    <n v="0"/>
    <n v="3.33"/>
  </r>
  <r>
    <m/>
    <x v="4"/>
    <x v="4"/>
    <x v="0"/>
    <m/>
    <m/>
    <m/>
    <x v="0"/>
    <m/>
    <x v="2"/>
    <m/>
    <m/>
    <m/>
    <m/>
    <m/>
    <m/>
    <m/>
    <m/>
    <m/>
    <m/>
    <m/>
    <m/>
    <x v="3"/>
    <x v="0"/>
    <x v="0"/>
    <m/>
    <m/>
    <x v="0"/>
    <m/>
    <m/>
    <m/>
    <m/>
    <m/>
    <m/>
    <x v="1"/>
    <x v="2"/>
    <x v="2"/>
    <x v="2"/>
    <x v="2"/>
    <x v="2"/>
    <x v="1"/>
    <x v="1"/>
    <x v="1"/>
    <x v="0"/>
    <x v="1"/>
    <x v="2"/>
    <x v="1"/>
    <x v="2"/>
    <x v="2"/>
    <x v="2"/>
    <x v="4"/>
    <x v="2"/>
    <x v="3"/>
    <x v="0"/>
    <x v="3"/>
    <x v="3"/>
    <n v="6.67"/>
    <n v="3.33"/>
    <n v="0"/>
    <n v="0"/>
  </r>
  <r>
    <m/>
    <x v="4"/>
    <x v="4"/>
    <x v="0"/>
    <m/>
    <m/>
    <m/>
    <x v="0"/>
    <m/>
    <x v="2"/>
    <m/>
    <m/>
    <m/>
    <m/>
    <m/>
    <m/>
    <m/>
    <m/>
    <m/>
    <m/>
    <m/>
    <m/>
    <x v="3"/>
    <x v="0"/>
    <x v="0"/>
    <m/>
    <m/>
    <x v="0"/>
    <m/>
    <m/>
    <m/>
    <m/>
    <m/>
    <m/>
    <x v="0"/>
    <x v="0"/>
    <x v="1"/>
    <x v="2"/>
    <x v="2"/>
    <x v="3"/>
    <x v="1"/>
    <x v="1"/>
    <x v="1"/>
    <x v="2"/>
    <x v="1"/>
    <x v="3"/>
    <x v="2"/>
    <x v="1"/>
    <x v="2"/>
    <x v="1"/>
    <x v="2"/>
    <x v="2"/>
    <x v="2"/>
    <x v="2"/>
    <x v="2"/>
    <x v="1"/>
    <n v="6.67"/>
    <n v="0"/>
    <n v="0"/>
    <n v="0"/>
  </r>
  <r>
    <m/>
    <x v="4"/>
    <x v="4"/>
    <x v="0"/>
    <m/>
    <m/>
    <m/>
    <x v="0"/>
    <m/>
    <x v="0"/>
    <m/>
    <m/>
    <m/>
    <m/>
    <m/>
    <m/>
    <m/>
    <m/>
    <m/>
    <m/>
    <m/>
    <m/>
    <x v="0"/>
    <x v="0"/>
    <x v="0"/>
    <m/>
    <m/>
    <x v="0"/>
    <m/>
    <m/>
    <m/>
    <m/>
    <m/>
    <m/>
    <x v="0"/>
    <x v="1"/>
    <x v="1"/>
    <x v="2"/>
    <x v="2"/>
    <x v="2"/>
    <x v="1"/>
    <x v="1"/>
    <x v="1"/>
    <x v="0"/>
    <x v="1"/>
    <x v="2"/>
    <x v="2"/>
    <x v="1"/>
    <x v="2"/>
    <x v="1"/>
    <x v="4"/>
    <x v="2"/>
    <x v="0"/>
    <x v="2"/>
    <x v="2"/>
    <x v="3"/>
    <n v="3.33"/>
    <n v="3.33"/>
    <n v="0"/>
    <n v="3.33"/>
  </r>
  <r>
    <m/>
    <x v="4"/>
    <x v="4"/>
    <x v="0"/>
    <m/>
    <m/>
    <m/>
    <x v="0"/>
    <m/>
    <x v="0"/>
    <m/>
    <m/>
    <m/>
    <m/>
    <m/>
    <m/>
    <m/>
    <m/>
    <m/>
    <m/>
    <m/>
    <m/>
    <x v="0"/>
    <x v="0"/>
    <x v="0"/>
    <m/>
    <m/>
    <x v="0"/>
    <m/>
    <m/>
    <m/>
    <m/>
    <m/>
    <m/>
    <x v="0"/>
    <x v="0"/>
    <x v="1"/>
    <x v="2"/>
    <x v="2"/>
    <x v="2"/>
    <x v="1"/>
    <x v="1"/>
    <x v="1"/>
    <x v="2"/>
    <x v="1"/>
    <x v="2"/>
    <x v="2"/>
    <x v="1"/>
    <x v="2"/>
    <x v="1"/>
    <x v="2"/>
    <x v="2"/>
    <x v="2"/>
    <x v="2"/>
    <x v="2"/>
    <x v="1"/>
    <n v="0"/>
    <n v="0"/>
    <n v="0"/>
    <n v="0"/>
  </r>
  <r>
    <m/>
    <x v="4"/>
    <x v="0"/>
    <x v="1"/>
    <m/>
    <m/>
    <m/>
    <x v="1"/>
    <m/>
    <x v="2"/>
    <m/>
    <m/>
    <m/>
    <m/>
    <m/>
    <m/>
    <m/>
    <m/>
    <m/>
    <m/>
    <m/>
    <m/>
    <x v="3"/>
    <x v="0"/>
    <x v="0"/>
    <m/>
    <m/>
    <x v="0"/>
    <m/>
    <m/>
    <m/>
    <m/>
    <m/>
    <m/>
    <x v="0"/>
    <x v="0"/>
    <x v="1"/>
    <x v="3"/>
    <x v="2"/>
    <x v="2"/>
    <x v="1"/>
    <x v="1"/>
    <x v="1"/>
    <x v="2"/>
    <x v="2"/>
    <x v="3"/>
    <x v="2"/>
    <x v="1"/>
    <x v="1"/>
    <x v="1"/>
    <x v="4"/>
    <x v="2"/>
    <x v="2"/>
    <x v="2"/>
    <x v="0"/>
    <x v="1"/>
    <n v="3.33"/>
    <n v="0"/>
    <n v="0"/>
    <n v="0"/>
  </r>
  <r>
    <m/>
    <x v="4"/>
    <x v="0"/>
    <x v="1"/>
    <m/>
    <m/>
    <m/>
    <x v="0"/>
    <m/>
    <x v="2"/>
    <m/>
    <m/>
    <m/>
    <m/>
    <m/>
    <m/>
    <m/>
    <m/>
    <m/>
    <m/>
    <m/>
    <m/>
    <x v="3"/>
    <x v="0"/>
    <x v="1"/>
    <m/>
    <m/>
    <x v="1"/>
    <m/>
    <m/>
    <m/>
    <m/>
    <m/>
    <m/>
    <x v="0"/>
    <x v="2"/>
    <x v="2"/>
    <x v="2"/>
    <x v="4"/>
    <x v="3"/>
    <x v="3"/>
    <x v="1"/>
    <x v="1"/>
    <x v="2"/>
    <x v="1"/>
    <x v="2"/>
    <x v="1"/>
    <x v="1"/>
    <x v="1"/>
    <x v="1"/>
    <x v="4"/>
    <x v="5"/>
    <x v="3"/>
    <x v="4"/>
    <x v="3"/>
    <x v="3"/>
    <n v="3.33"/>
    <n v="3.33"/>
    <n v="3.33"/>
    <n v="6.67"/>
  </r>
  <r>
    <m/>
    <x v="4"/>
    <x v="0"/>
    <x v="1"/>
    <m/>
    <m/>
    <m/>
    <x v="1"/>
    <m/>
    <x v="2"/>
    <m/>
    <m/>
    <m/>
    <m/>
    <m/>
    <m/>
    <m/>
    <m/>
    <m/>
    <m/>
    <m/>
    <m/>
    <x v="3"/>
    <x v="2"/>
    <x v="1"/>
    <m/>
    <m/>
    <x v="1"/>
    <m/>
    <m/>
    <m/>
    <m/>
    <m/>
    <m/>
    <x v="1"/>
    <x v="2"/>
    <x v="2"/>
    <x v="3"/>
    <x v="4"/>
    <x v="3"/>
    <x v="3"/>
    <x v="0"/>
    <x v="2"/>
    <x v="3"/>
    <x v="2"/>
    <x v="2"/>
    <x v="1"/>
    <x v="2"/>
    <x v="1"/>
    <x v="2"/>
    <x v="4"/>
    <x v="3"/>
    <x v="3"/>
    <x v="4"/>
    <x v="3"/>
    <x v="3"/>
    <n v="6.67"/>
    <n v="0"/>
    <n v="6.67"/>
    <n v="3.33"/>
  </r>
  <r>
    <m/>
    <x v="4"/>
    <x v="0"/>
    <x v="1"/>
    <m/>
    <m/>
    <m/>
    <x v="0"/>
    <m/>
    <x v="0"/>
    <m/>
    <m/>
    <m/>
    <m/>
    <m/>
    <m/>
    <m/>
    <m/>
    <m/>
    <m/>
    <m/>
    <m/>
    <x v="0"/>
    <x v="0"/>
    <x v="1"/>
    <m/>
    <m/>
    <x v="2"/>
    <m/>
    <m/>
    <m/>
    <m/>
    <m/>
    <m/>
    <x v="0"/>
    <x v="0"/>
    <x v="2"/>
    <x v="2"/>
    <x v="3"/>
    <x v="2"/>
    <x v="1"/>
    <x v="1"/>
    <x v="1"/>
    <x v="2"/>
    <x v="1"/>
    <x v="3"/>
    <x v="2"/>
    <x v="1"/>
    <x v="1"/>
    <x v="6"/>
    <x v="4"/>
    <x v="5"/>
    <x v="2"/>
    <x v="2"/>
    <x v="4"/>
    <x v="0"/>
    <n v="3.33"/>
    <n v="3.33"/>
    <n v="3.33"/>
    <n v="6.67"/>
  </r>
  <r>
    <m/>
    <x v="4"/>
    <x v="0"/>
    <x v="1"/>
    <m/>
    <m/>
    <m/>
    <x v="0"/>
    <m/>
    <x v="2"/>
    <m/>
    <m/>
    <m/>
    <m/>
    <m/>
    <m/>
    <m/>
    <m/>
    <m/>
    <m/>
    <m/>
    <m/>
    <x v="3"/>
    <x v="0"/>
    <x v="0"/>
    <m/>
    <m/>
    <x v="1"/>
    <m/>
    <m/>
    <m/>
    <m/>
    <m/>
    <m/>
    <x v="0"/>
    <x v="2"/>
    <x v="2"/>
    <x v="3"/>
    <x v="2"/>
    <x v="2"/>
    <x v="1"/>
    <x v="1"/>
    <x v="1"/>
    <x v="2"/>
    <x v="1"/>
    <x v="2"/>
    <x v="1"/>
    <x v="2"/>
    <x v="1"/>
    <x v="2"/>
    <x v="1"/>
    <x v="3"/>
    <x v="3"/>
    <x v="4"/>
    <x v="4"/>
    <x v="3"/>
    <n v="6.67"/>
    <n v="0"/>
    <n v="0"/>
    <n v="3.33"/>
  </r>
  <r>
    <m/>
    <x v="4"/>
    <x v="0"/>
    <x v="1"/>
    <m/>
    <m/>
    <m/>
    <x v="4"/>
    <m/>
    <x v="5"/>
    <m/>
    <m/>
    <m/>
    <m/>
    <m/>
    <m/>
    <m/>
    <m/>
    <m/>
    <m/>
    <m/>
    <m/>
    <x v="4"/>
    <x v="4"/>
    <x v="5"/>
    <m/>
    <m/>
    <x v="2"/>
    <m/>
    <m/>
    <m/>
    <m/>
    <m/>
    <m/>
    <x v="5"/>
    <x v="5"/>
    <x v="1"/>
    <x v="0"/>
    <x v="0"/>
    <x v="2"/>
    <x v="0"/>
    <x v="0"/>
    <x v="0"/>
    <x v="0"/>
    <x v="0"/>
    <x v="0"/>
    <x v="2"/>
    <x v="0"/>
    <x v="0"/>
    <x v="0"/>
    <x v="0"/>
    <x v="0"/>
    <x v="2"/>
    <x v="0"/>
    <x v="0"/>
    <x v="1"/>
    <m/>
    <n v="0"/>
    <n v="3.33"/>
    <n v="3.33"/>
  </r>
  <r>
    <m/>
    <x v="4"/>
    <x v="0"/>
    <x v="0"/>
    <m/>
    <m/>
    <m/>
    <x v="0"/>
    <m/>
    <x v="0"/>
    <m/>
    <m/>
    <m/>
    <m/>
    <m/>
    <m/>
    <m/>
    <m/>
    <m/>
    <m/>
    <m/>
    <m/>
    <x v="0"/>
    <x v="0"/>
    <x v="0"/>
    <m/>
    <m/>
    <x v="0"/>
    <m/>
    <m/>
    <m/>
    <m/>
    <m/>
    <m/>
    <x v="0"/>
    <x v="0"/>
    <x v="2"/>
    <x v="2"/>
    <x v="2"/>
    <x v="2"/>
    <x v="1"/>
    <x v="1"/>
    <x v="2"/>
    <x v="2"/>
    <x v="2"/>
    <x v="2"/>
    <x v="5"/>
    <x v="1"/>
    <x v="2"/>
    <x v="1"/>
    <x v="2"/>
    <x v="2"/>
    <x v="3"/>
    <x v="2"/>
    <x v="2"/>
    <x v="1"/>
    <n v="6.67"/>
    <n v="3.33"/>
    <n v="0"/>
    <n v="3.33"/>
  </r>
  <r>
    <m/>
    <x v="4"/>
    <x v="0"/>
    <x v="1"/>
    <m/>
    <m/>
    <m/>
    <x v="0"/>
    <m/>
    <x v="5"/>
    <m/>
    <m/>
    <m/>
    <m/>
    <m/>
    <m/>
    <m/>
    <m/>
    <m/>
    <m/>
    <m/>
    <m/>
    <x v="4"/>
    <x v="1"/>
    <x v="1"/>
    <m/>
    <m/>
    <x v="2"/>
    <m/>
    <m/>
    <m/>
    <m/>
    <m/>
    <m/>
    <x v="0"/>
    <x v="0"/>
    <x v="0"/>
    <x v="2"/>
    <x v="4"/>
    <x v="3"/>
    <x v="0"/>
    <x v="1"/>
    <x v="2"/>
    <x v="2"/>
    <x v="2"/>
    <x v="1"/>
    <x v="2"/>
    <x v="1"/>
    <x v="1"/>
    <x v="1"/>
    <x v="1"/>
    <x v="3"/>
    <x v="0"/>
    <x v="4"/>
    <x v="5"/>
    <x v="1"/>
    <n v="6.67"/>
    <n v="0"/>
    <n v="0"/>
    <n v="6.67"/>
  </r>
  <r>
    <m/>
    <x v="4"/>
    <x v="4"/>
    <x v="0"/>
    <m/>
    <m/>
    <m/>
    <x v="0"/>
    <m/>
    <x v="0"/>
    <m/>
    <m/>
    <m/>
    <m/>
    <m/>
    <m/>
    <m/>
    <m/>
    <m/>
    <m/>
    <m/>
    <m/>
    <x v="0"/>
    <x v="0"/>
    <x v="1"/>
    <m/>
    <m/>
    <x v="0"/>
    <m/>
    <m/>
    <m/>
    <m/>
    <m/>
    <m/>
    <x v="1"/>
    <x v="2"/>
    <x v="1"/>
    <x v="2"/>
    <x v="2"/>
    <x v="2"/>
    <x v="1"/>
    <x v="1"/>
    <x v="1"/>
    <x v="0"/>
    <x v="0"/>
    <x v="2"/>
    <x v="1"/>
    <x v="1"/>
    <x v="1"/>
    <x v="1"/>
    <x v="1"/>
    <x v="3"/>
    <x v="3"/>
    <x v="2"/>
    <x v="4"/>
    <x v="3"/>
    <n v="6.67"/>
    <n v="0"/>
    <n v="0"/>
    <n v="3.33"/>
  </r>
  <r>
    <m/>
    <x v="4"/>
    <x v="4"/>
    <x v="2"/>
    <m/>
    <m/>
    <m/>
    <x v="4"/>
    <m/>
    <x v="5"/>
    <m/>
    <m/>
    <m/>
    <m/>
    <m/>
    <m/>
    <m/>
    <m/>
    <m/>
    <m/>
    <m/>
    <m/>
    <x v="4"/>
    <x v="4"/>
    <x v="5"/>
    <m/>
    <m/>
    <x v="2"/>
    <m/>
    <m/>
    <m/>
    <m/>
    <m/>
    <m/>
    <x v="5"/>
    <x v="5"/>
    <x v="0"/>
    <x v="0"/>
    <x v="0"/>
    <x v="0"/>
    <x v="0"/>
    <x v="0"/>
    <x v="0"/>
    <x v="0"/>
    <x v="0"/>
    <x v="0"/>
    <x v="0"/>
    <x v="0"/>
    <x v="0"/>
    <x v="0"/>
    <x v="0"/>
    <x v="0"/>
    <x v="0"/>
    <x v="0"/>
    <x v="0"/>
    <x v="0"/>
    <m/>
    <m/>
    <m/>
    <m/>
  </r>
  <r>
    <m/>
    <x v="5"/>
    <x v="1"/>
    <x v="0"/>
    <m/>
    <m/>
    <m/>
    <x v="0"/>
    <m/>
    <x v="0"/>
    <m/>
    <m/>
    <m/>
    <m/>
    <m/>
    <m/>
    <m/>
    <m/>
    <m/>
    <m/>
    <m/>
    <m/>
    <x v="0"/>
    <x v="0"/>
    <x v="1"/>
    <m/>
    <m/>
    <x v="1"/>
    <m/>
    <m/>
    <m/>
    <m/>
    <m/>
    <m/>
    <x v="0"/>
    <x v="4"/>
    <x v="1"/>
    <x v="2"/>
    <x v="2"/>
    <x v="2"/>
    <x v="1"/>
    <x v="1"/>
    <x v="1"/>
    <x v="2"/>
    <x v="2"/>
    <x v="3"/>
    <x v="2"/>
    <x v="2"/>
    <x v="1"/>
    <x v="1"/>
    <x v="4"/>
    <x v="2"/>
    <x v="4"/>
    <x v="4"/>
    <x v="2"/>
    <x v="3"/>
    <n v="6.67"/>
    <n v="6.67"/>
    <n v="6.67"/>
    <m/>
  </r>
  <r>
    <m/>
    <x v="5"/>
    <x v="1"/>
    <x v="1"/>
    <m/>
    <m/>
    <m/>
    <x v="0"/>
    <m/>
    <x v="0"/>
    <m/>
    <m/>
    <m/>
    <m/>
    <m/>
    <m/>
    <m/>
    <m/>
    <m/>
    <m/>
    <m/>
    <m/>
    <x v="0"/>
    <x v="0"/>
    <x v="0"/>
    <m/>
    <m/>
    <x v="0"/>
    <m/>
    <m/>
    <m/>
    <m/>
    <m/>
    <m/>
    <x v="1"/>
    <x v="4"/>
    <x v="1"/>
    <x v="2"/>
    <x v="2"/>
    <x v="2"/>
    <x v="1"/>
    <x v="1"/>
    <x v="1"/>
    <x v="2"/>
    <x v="2"/>
    <x v="3"/>
    <x v="2"/>
    <x v="2"/>
    <x v="1"/>
    <x v="6"/>
    <x v="4"/>
    <x v="2"/>
    <x v="2"/>
    <x v="2"/>
    <x v="4"/>
    <x v="5"/>
    <n v="3.33"/>
    <n v="6.67"/>
    <n v="6.67"/>
    <n v="6.67"/>
  </r>
  <r>
    <m/>
    <x v="5"/>
    <x v="2"/>
    <x v="2"/>
    <m/>
    <m/>
    <m/>
    <x v="2"/>
    <m/>
    <x v="4"/>
    <m/>
    <m/>
    <m/>
    <m/>
    <m/>
    <m/>
    <m/>
    <m/>
    <m/>
    <m/>
    <m/>
    <m/>
    <x v="5"/>
    <x v="0"/>
    <x v="1"/>
    <m/>
    <m/>
    <x v="0"/>
    <m/>
    <m/>
    <m/>
    <m/>
    <m/>
    <m/>
    <x v="2"/>
    <x v="5"/>
    <x v="5"/>
    <x v="4"/>
    <x v="3"/>
    <x v="3"/>
    <x v="5"/>
    <x v="5"/>
    <x v="5"/>
    <x v="3"/>
    <x v="5"/>
    <x v="3"/>
    <x v="1"/>
    <x v="0"/>
    <x v="3"/>
    <x v="6"/>
    <x v="1"/>
    <x v="5"/>
    <x v="3"/>
    <x v="2"/>
    <x v="3"/>
    <x v="5"/>
    <n v="10"/>
    <n v="10"/>
    <n v="6.67"/>
    <n v="10"/>
  </r>
  <r>
    <m/>
    <x v="5"/>
    <x v="1"/>
    <x v="1"/>
    <m/>
    <m/>
    <m/>
    <x v="0"/>
    <m/>
    <x v="0"/>
    <m/>
    <m/>
    <m/>
    <m/>
    <m/>
    <m/>
    <m/>
    <m/>
    <m/>
    <m/>
    <m/>
    <m/>
    <x v="0"/>
    <x v="0"/>
    <x v="1"/>
    <m/>
    <m/>
    <x v="0"/>
    <m/>
    <m/>
    <m/>
    <m/>
    <m/>
    <m/>
    <x v="1"/>
    <x v="0"/>
    <x v="1"/>
    <x v="2"/>
    <x v="4"/>
    <x v="2"/>
    <x v="1"/>
    <x v="1"/>
    <x v="2"/>
    <x v="2"/>
    <x v="1"/>
    <x v="3"/>
    <x v="2"/>
    <x v="1"/>
    <x v="1"/>
    <x v="2"/>
    <x v="4"/>
    <x v="2"/>
    <x v="4"/>
    <x v="2"/>
    <x v="0"/>
    <x v="3"/>
    <n v="6.67"/>
    <n v="6.67"/>
    <n v="6.67"/>
    <n v="1"/>
  </r>
  <r>
    <m/>
    <x v="5"/>
    <x v="1"/>
    <x v="1"/>
    <m/>
    <m/>
    <m/>
    <x v="0"/>
    <m/>
    <x v="0"/>
    <m/>
    <m/>
    <m/>
    <m/>
    <m/>
    <m/>
    <m/>
    <m/>
    <m/>
    <m/>
    <m/>
    <m/>
    <x v="0"/>
    <x v="0"/>
    <x v="0"/>
    <m/>
    <m/>
    <x v="0"/>
    <m/>
    <m/>
    <m/>
    <m/>
    <m/>
    <m/>
    <x v="0"/>
    <x v="0"/>
    <x v="1"/>
    <x v="2"/>
    <x v="2"/>
    <x v="2"/>
    <x v="1"/>
    <x v="1"/>
    <x v="1"/>
    <x v="2"/>
    <x v="1"/>
    <x v="3"/>
    <x v="2"/>
    <x v="1"/>
    <x v="2"/>
    <x v="2"/>
    <x v="0"/>
    <x v="2"/>
    <x v="3"/>
    <x v="2"/>
    <x v="3"/>
    <x v="1"/>
    <n v="10"/>
    <n v="10"/>
    <n v="10"/>
    <n v="10"/>
  </r>
  <r>
    <m/>
    <x v="5"/>
    <x v="1"/>
    <x v="1"/>
    <m/>
    <m/>
    <m/>
    <x v="0"/>
    <m/>
    <x v="0"/>
    <m/>
    <m/>
    <m/>
    <m/>
    <m/>
    <m/>
    <m/>
    <m/>
    <m/>
    <m/>
    <m/>
    <m/>
    <x v="0"/>
    <x v="0"/>
    <x v="0"/>
    <m/>
    <m/>
    <x v="0"/>
    <m/>
    <m/>
    <m/>
    <m/>
    <m/>
    <m/>
    <x v="0"/>
    <x v="0"/>
    <x v="1"/>
    <x v="2"/>
    <x v="2"/>
    <x v="2"/>
    <x v="1"/>
    <x v="1"/>
    <x v="1"/>
    <x v="2"/>
    <x v="1"/>
    <x v="3"/>
    <x v="2"/>
    <x v="1"/>
    <x v="2"/>
    <x v="1"/>
    <x v="2"/>
    <x v="2"/>
    <x v="2"/>
    <x v="2"/>
    <x v="2"/>
    <x v="1"/>
    <n v="10"/>
    <n v="10"/>
    <n v="10"/>
    <n v="10"/>
  </r>
  <r>
    <m/>
    <x v="5"/>
    <x v="1"/>
    <x v="1"/>
    <m/>
    <m/>
    <m/>
    <x v="0"/>
    <m/>
    <x v="0"/>
    <m/>
    <m/>
    <m/>
    <m/>
    <m/>
    <m/>
    <m/>
    <m/>
    <m/>
    <m/>
    <m/>
    <m/>
    <x v="0"/>
    <x v="0"/>
    <x v="0"/>
    <m/>
    <m/>
    <x v="0"/>
    <m/>
    <m/>
    <m/>
    <m/>
    <m/>
    <m/>
    <x v="0"/>
    <x v="0"/>
    <x v="1"/>
    <x v="3"/>
    <x v="2"/>
    <x v="3"/>
    <x v="1"/>
    <x v="2"/>
    <x v="1"/>
    <x v="3"/>
    <x v="2"/>
    <x v="3"/>
    <x v="2"/>
    <x v="1"/>
    <x v="1"/>
    <x v="1"/>
    <x v="4"/>
    <x v="2"/>
    <x v="3"/>
    <x v="2"/>
    <x v="3"/>
    <x v="3"/>
    <n v="10"/>
    <n v="10"/>
    <n v="6.67"/>
    <n v="10"/>
  </r>
  <r>
    <m/>
    <x v="5"/>
    <x v="1"/>
    <x v="1"/>
    <m/>
    <m/>
    <m/>
    <x v="0"/>
    <m/>
    <x v="0"/>
    <m/>
    <m/>
    <m/>
    <m/>
    <m/>
    <m/>
    <m/>
    <m/>
    <m/>
    <m/>
    <m/>
    <m/>
    <x v="0"/>
    <x v="0"/>
    <x v="0"/>
    <m/>
    <m/>
    <x v="0"/>
    <m/>
    <m/>
    <m/>
    <m/>
    <m/>
    <m/>
    <x v="0"/>
    <x v="0"/>
    <x v="1"/>
    <x v="2"/>
    <x v="2"/>
    <x v="2"/>
    <x v="1"/>
    <x v="1"/>
    <x v="1"/>
    <x v="2"/>
    <x v="2"/>
    <x v="3"/>
    <x v="2"/>
    <x v="1"/>
    <x v="2"/>
    <x v="2"/>
    <x v="2"/>
    <x v="2"/>
    <x v="2"/>
    <x v="2"/>
    <x v="3"/>
    <x v="1"/>
    <n v="10"/>
    <n v="10"/>
    <n v="6.67"/>
    <n v="10"/>
  </r>
  <r>
    <m/>
    <x v="5"/>
    <x v="1"/>
    <x v="1"/>
    <m/>
    <m/>
    <m/>
    <x v="1"/>
    <m/>
    <x v="2"/>
    <m/>
    <m/>
    <m/>
    <m/>
    <m/>
    <m/>
    <m/>
    <m/>
    <m/>
    <m/>
    <m/>
    <m/>
    <x v="0"/>
    <x v="0"/>
    <x v="0"/>
    <m/>
    <m/>
    <x v="0"/>
    <m/>
    <m/>
    <m/>
    <m/>
    <m/>
    <m/>
    <x v="0"/>
    <x v="0"/>
    <x v="1"/>
    <x v="2"/>
    <x v="4"/>
    <x v="2"/>
    <x v="1"/>
    <x v="1"/>
    <x v="2"/>
    <x v="2"/>
    <x v="2"/>
    <x v="3"/>
    <x v="2"/>
    <x v="1"/>
    <x v="2"/>
    <x v="2"/>
    <x v="0"/>
    <x v="2"/>
    <x v="3"/>
    <x v="2"/>
    <x v="3"/>
    <x v="3"/>
    <n v="10"/>
    <n v="10"/>
    <n v="0"/>
    <n v="10"/>
  </r>
  <r>
    <m/>
    <x v="5"/>
    <x v="1"/>
    <x v="1"/>
    <m/>
    <m/>
    <m/>
    <x v="0"/>
    <m/>
    <x v="0"/>
    <m/>
    <m/>
    <m/>
    <m/>
    <m/>
    <m/>
    <m/>
    <m/>
    <m/>
    <m/>
    <m/>
    <m/>
    <x v="0"/>
    <x v="0"/>
    <x v="0"/>
    <m/>
    <m/>
    <x v="0"/>
    <m/>
    <m/>
    <m/>
    <m/>
    <m/>
    <m/>
    <x v="0"/>
    <x v="5"/>
    <x v="1"/>
    <x v="2"/>
    <x v="2"/>
    <x v="2"/>
    <x v="1"/>
    <x v="1"/>
    <x v="1"/>
    <x v="2"/>
    <x v="1"/>
    <x v="3"/>
    <x v="2"/>
    <x v="1"/>
    <x v="2"/>
    <x v="1"/>
    <x v="2"/>
    <x v="2"/>
    <x v="3"/>
    <x v="2"/>
    <x v="4"/>
    <x v="3"/>
    <n v="10"/>
    <m/>
    <n v="10"/>
    <n v="6.67"/>
  </r>
  <r>
    <m/>
    <x v="5"/>
    <x v="1"/>
    <x v="1"/>
    <m/>
    <m/>
    <m/>
    <x v="1"/>
    <m/>
    <x v="0"/>
    <m/>
    <m/>
    <m/>
    <m/>
    <m/>
    <m/>
    <m/>
    <m/>
    <m/>
    <m/>
    <m/>
    <m/>
    <x v="2"/>
    <x v="0"/>
    <x v="0"/>
    <m/>
    <m/>
    <x v="2"/>
    <m/>
    <m/>
    <m/>
    <m/>
    <m/>
    <m/>
    <x v="1"/>
    <x v="2"/>
    <x v="2"/>
    <x v="3"/>
    <x v="2"/>
    <x v="2"/>
    <x v="3"/>
    <x v="2"/>
    <x v="1"/>
    <x v="2"/>
    <x v="2"/>
    <x v="2"/>
    <x v="2"/>
    <x v="1"/>
    <x v="1"/>
    <x v="2"/>
    <x v="2"/>
    <x v="3"/>
    <x v="5"/>
    <x v="4"/>
    <x v="4"/>
    <x v="4"/>
    <n v="10"/>
    <n v="6.67"/>
    <n v="6.67"/>
    <n v="10"/>
  </r>
  <r>
    <m/>
    <x v="5"/>
    <x v="1"/>
    <x v="1"/>
    <m/>
    <m/>
    <m/>
    <x v="0"/>
    <m/>
    <x v="0"/>
    <m/>
    <m/>
    <m/>
    <m/>
    <m/>
    <m/>
    <m/>
    <m/>
    <m/>
    <m/>
    <m/>
    <m/>
    <x v="0"/>
    <x v="0"/>
    <x v="0"/>
    <m/>
    <m/>
    <x v="0"/>
    <m/>
    <m/>
    <m/>
    <m/>
    <m/>
    <m/>
    <x v="0"/>
    <x v="0"/>
    <x v="1"/>
    <x v="2"/>
    <x v="2"/>
    <x v="2"/>
    <x v="1"/>
    <x v="1"/>
    <x v="1"/>
    <x v="2"/>
    <x v="1"/>
    <x v="3"/>
    <x v="2"/>
    <x v="1"/>
    <x v="2"/>
    <x v="1"/>
    <x v="2"/>
    <x v="2"/>
    <x v="2"/>
    <x v="2"/>
    <x v="2"/>
    <x v="1"/>
    <n v="10"/>
    <n v="10"/>
    <n v="10"/>
    <n v="6.67"/>
  </r>
  <r>
    <m/>
    <x v="5"/>
    <x v="1"/>
    <x v="1"/>
    <m/>
    <m/>
    <m/>
    <x v="0"/>
    <m/>
    <x v="5"/>
    <m/>
    <m/>
    <m/>
    <m/>
    <m/>
    <m/>
    <m/>
    <m/>
    <m/>
    <m/>
    <m/>
    <m/>
    <x v="0"/>
    <x v="0"/>
    <x v="0"/>
    <m/>
    <m/>
    <x v="0"/>
    <m/>
    <m/>
    <m/>
    <m/>
    <m/>
    <m/>
    <x v="0"/>
    <x v="0"/>
    <x v="1"/>
    <x v="2"/>
    <x v="2"/>
    <x v="2"/>
    <x v="1"/>
    <x v="1"/>
    <x v="1"/>
    <x v="2"/>
    <x v="1"/>
    <x v="3"/>
    <x v="2"/>
    <x v="1"/>
    <x v="2"/>
    <x v="1"/>
    <x v="0"/>
    <x v="2"/>
    <x v="2"/>
    <x v="2"/>
    <x v="3"/>
    <x v="1"/>
    <n v="10"/>
    <n v="10"/>
    <n v="6.67"/>
    <n v="10"/>
  </r>
  <r>
    <m/>
    <x v="5"/>
    <x v="1"/>
    <x v="1"/>
    <m/>
    <m/>
    <m/>
    <x v="0"/>
    <m/>
    <x v="5"/>
    <m/>
    <m/>
    <m/>
    <m/>
    <m/>
    <m/>
    <m/>
    <m/>
    <m/>
    <m/>
    <m/>
    <m/>
    <x v="0"/>
    <x v="0"/>
    <x v="0"/>
    <m/>
    <m/>
    <x v="0"/>
    <m/>
    <m/>
    <m/>
    <m/>
    <m/>
    <m/>
    <x v="5"/>
    <x v="1"/>
    <x v="1"/>
    <x v="2"/>
    <x v="0"/>
    <x v="2"/>
    <x v="1"/>
    <x v="1"/>
    <x v="0"/>
    <x v="2"/>
    <x v="0"/>
    <x v="3"/>
    <x v="2"/>
    <x v="1"/>
    <x v="2"/>
    <x v="4"/>
    <x v="7"/>
    <x v="2"/>
    <x v="3"/>
    <x v="2"/>
    <x v="5"/>
    <x v="4"/>
    <n v="10"/>
    <n v="10"/>
    <n v="6.67"/>
    <m/>
  </r>
  <r>
    <m/>
    <x v="5"/>
    <x v="1"/>
    <x v="1"/>
    <m/>
    <m/>
    <m/>
    <x v="0"/>
    <m/>
    <x v="0"/>
    <m/>
    <m/>
    <m/>
    <m/>
    <m/>
    <m/>
    <m/>
    <m/>
    <m/>
    <m/>
    <m/>
    <m/>
    <x v="0"/>
    <x v="0"/>
    <x v="0"/>
    <m/>
    <m/>
    <x v="0"/>
    <m/>
    <m/>
    <m/>
    <m/>
    <m/>
    <m/>
    <x v="0"/>
    <x v="0"/>
    <x v="1"/>
    <x v="2"/>
    <x v="2"/>
    <x v="2"/>
    <x v="1"/>
    <x v="1"/>
    <x v="1"/>
    <x v="2"/>
    <x v="1"/>
    <x v="3"/>
    <x v="2"/>
    <x v="1"/>
    <x v="2"/>
    <x v="1"/>
    <x v="2"/>
    <x v="2"/>
    <x v="2"/>
    <x v="2"/>
    <x v="2"/>
    <x v="1"/>
    <n v="10"/>
    <n v="10"/>
    <n v="6.67"/>
    <n v="10"/>
  </r>
  <r>
    <m/>
    <x v="5"/>
    <x v="1"/>
    <x v="1"/>
    <m/>
    <m/>
    <m/>
    <x v="0"/>
    <m/>
    <x v="0"/>
    <m/>
    <m/>
    <m/>
    <m/>
    <m/>
    <m/>
    <m/>
    <m/>
    <m/>
    <m/>
    <m/>
    <m/>
    <x v="0"/>
    <x v="0"/>
    <x v="0"/>
    <m/>
    <m/>
    <x v="0"/>
    <m/>
    <m/>
    <m/>
    <m/>
    <m/>
    <m/>
    <x v="0"/>
    <x v="0"/>
    <x v="1"/>
    <x v="2"/>
    <x v="2"/>
    <x v="2"/>
    <x v="1"/>
    <x v="1"/>
    <x v="1"/>
    <x v="2"/>
    <x v="1"/>
    <x v="3"/>
    <x v="0"/>
    <x v="1"/>
    <x v="2"/>
    <x v="1"/>
    <x v="0"/>
    <x v="2"/>
    <x v="4"/>
    <x v="2"/>
    <x v="2"/>
    <x v="1"/>
    <n v="10"/>
    <n v="10"/>
    <n v="10"/>
    <n v="10"/>
  </r>
  <r>
    <m/>
    <x v="5"/>
    <x v="2"/>
    <x v="2"/>
    <m/>
    <m/>
    <m/>
    <x v="0"/>
    <m/>
    <x v="0"/>
    <m/>
    <m/>
    <m/>
    <m/>
    <m/>
    <m/>
    <m/>
    <m/>
    <m/>
    <m/>
    <m/>
    <m/>
    <x v="0"/>
    <x v="0"/>
    <x v="0"/>
    <m/>
    <m/>
    <x v="0"/>
    <m/>
    <m/>
    <m/>
    <m/>
    <m/>
    <m/>
    <x v="2"/>
    <x v="2"/>
    <x v="1"/>
    <x v="2"/>
    <x v="2"/>
    <x v="2"/>
    <x v="1"/>
    <x v="1"/>
    <x v="1"/>
    <x v="2"/>
    <x v="2"/>
    <x v="3"/>
    <x v="2"/>
    <x v="1"/>
    <x v="1"/>
    <x v="2"/>
    <x v="4"/>
    <x v="2"/>
    <x v="2"/>
    <x v="2"/>
    <x v="3"/>
    <x v="1"/>
    <n v="10"/>
    <n v="10"/>
    <n v="10"/>
    <m/>
  </r>
  <r>
    <m/>
    <x v="5"/>
    <x v="2"/>
    <x v="2"/>
    <m/>
    <m/>
    <m/>
    <x v="1"/>
    <m/>
    <x v="2"/>
    <m/>
    <m/>
    <m/>
    <m/>
    <m/>
    <m/>
    <m/>
    <m/>
    <m/>
    <m/>
    <m/>
    <m/>
    <x v="0"/>
    <x v="0"/>
    <x v="3"/>
    <m/>
    <m/>
    <x v="1"/>
    <m/>
    <m/>
    <m/>
    <m/>
    <m/>
    <m/>
    <x v="1"/>
    <x v="2"/>
    <x v="2"/>
    <x v="3"/>
    <x v="4"/>
    <x v="3"/>
    <x v="3"/>
    <x v="2"/>
    <x v="2"/>
    <x v="3"/>
    <x v="2"/>
    <x v="2"/>
    <x v="2"/>
    <x v="2"/>
    <x v="1"/>
    <x v="2"/>
    <x v="4"/>
    <x v="3"/>
    <x v="3"/>
    <x v="4"/>
    <x v="3"/>
    <x v="3"/>
    <n v="6.67"/>
    <n v="6.67"/>
    <n v="6.67"/>
    <m/>
  </r>
  <r>
    <m/>
    <x v="5"/>
    <x v="2"/>
    <x v="0"/>
    <m/>
    <m/>
    <m/>
    <x v="0"/>
    <m/>
    <x v="2"/>
    <m/>
    <m/>
    <m/>
    <m/>
    <m/>
    <m/>
    <m/>
    <m/>
    <m/>
    <m/>
    <m/>
    <m/>
    <x v="2"/>
    <x v="0"/>
    <x v="1"/>
    <m/>
    <m/>
    <x v="0"/>
    <m/>
    <m/>
    <m/>
    <m/>
    <m/>
    <m/>
    <x v="0"/>
    <x v="0"/>
    <x v="2"/>
    <x v="5"/>
    <x v="3"/>
    <x v="2"/>
    <x v="3"/>
    <x v="4"/>
    <x v="5"/>
    <x v="2"/>
    <x v="5"/>
    <x v="3"/>
    <x v="1"/>
    <x v="2"/>
    <x v="1"/>
    <x v="2"/>
    <x v="0"/>
    <x v="2"/>
    <x v="4"/>
    <x v="2"/>
    <x v="4"/>
    <x v="3"/>
    <n v="10"/>
    <n v="10"/>
    <n v="6.67"/>
    <m/>
  </r>
  <r>
    <m/>
    <x v="5"/>
    <x v="2"/>
    <x v="1"/>
    <m/>
    <m/>
    <m/>
    <x v="1"/>
    <m/>
    <x v="2"/>
    <m/>
    <m/>
    <m/>
    <m/>
    <m/>
    <m/>
    <m/>
    <m/>
    <m/>
    <m/>
    <m/>
    <m/>
    <x v="2"/>
    <x v="5"/>
    <x v="1"/>
    <m/>
    <m/>
    <x v="1"/>
    <m/>
    <m/>
    <m/>
    <m/>
    <m/>
    <m/>
    <x v="1"/>
    <x v="2"/>
    <x v="2"/>
    <x v="3"/>
    <x v="4"/>
    <x v="3"/>
    <x v="3"/>
    <x v="2"/>
    <x v="2"/>
    <x v="3"/>
    <x v="5"/>
    <x v="1"/>
    <x v="1"/>
    <x v="2"/>
    <x v="1"/>
    <x v="2"/>
    <x v="4"/>
    <x v="3"/>
    <x v="0"/>
    <x v="4"/>
    <x v="3"/>
    <x v="3"/>
    <n v="6.67"/>
    <n v="6.67"/>
    <n v="6.67"/>
    <n v="6.67"/>
  </r>
  <r>
    <m/>
    <x v="5"/>
    <x v="2"/>
    <x v="1"/>
    <m/>
    <m/>
    <m/>
    <x v="0"/>
    <m/>
    <x v="0"/>
    <m/>
    <m/>
    <m/>
    <m/>
    <m/>
    <m/>
    <m/>
    <m/>
    <m/>
    <m/>
    <m/>
    <m/>
    <x v="0"/>
    <x v="0"/>
    <x v="0"/>
    <m/>
    <m/>
    <x v="0"/>
    <m/>
    <m/>
    <m/>
    <m/>
    <m/>
    <m/>
    <x v="0"/>
    <x v="2"/>
    <x v="2"/>
    <x v="2"/>
    <x v="2"/>
    <x v="2"/>
    <x v="3"/>
    <x v="1"/>
    <x v="1"/>
    <x v="2"/>
    <x v="1"/>
    <x v="3"/>
    <x v="2"/>
    <x v="2"/>
    <x v="1"/>
    <x v="2"/>
    <x v="4"/>
    <x v="2"/>
    <x v="2"/>
    <x v="2"/>
    <x v="3"/>
    <x v="1"/>
    <n v="6.67"/>
    <n v="10"/>
    <n v="10"/>
    <n v="6.67"/>
  </r>
  <r>
    <m/>
    <x v="5"/>
    <x v="2"/>
    <x v="1"/>
    <m/>
    <m/>
    <m/>
    <x v="0"/>
    <m/>
    <x v="5"/>
    <m/>
    <m/>
    <m/>
    <m/>
    <m/>
    <m/>
    <m/>
    <m/>
    <m/>
    <m/>
    <m/>
    <m/>
    <x v="7"/>
    <x v="4"/>
    <x v="7"/>
    <m/>
    <m/>
    <x v="2"/>
    <m/>
    <m/>
    <m/>
    <m/>
    <m/>
    <m/>
    <x v="1"/>
    <x v="2"/>
    <x v="2"/>
    <x v="3"/>
    <x v="0"/>
    <x v="3"/>
    <x v="3"/>
    <x v="2"/>
    <x v="0"/>
    <x v="3"/>
    <x v="0"/>
    <x v="2"/>
    <x v="0"/>
    <x v="2"/>
    <x v="0"/>
    <x v="2"/>
    <x v="4"/>
    <x v="0"/>
    <x v="3"/>
    <x v="0"/>
    <x v="2"/>
    <x v="0"/>
    <m/>
    <m/>
    <n v="10"/>
    <n v="10"/>
  </r>
  <r>
    <m/>
    <x v="5"/>
    <x v="2"/>
    <x v="1"/>
    <m/>
    <m/>
    <m/>
    <x v="0"/>
    <m/>
    <x v="0"/>
    <m/>
    <m/>
    <m/>
    <m/>
    <m/>
    <m/>
    <m/>
    <m/>
    <m/>
    <m/>
    <m/>
    <m/>
    <x v="3"/>
    <x v="1"/>
    <x v="0"/>
    <m/>
    <m/>
    <x v="5"/>
    <m/>
    <m/>
    <m/>
    <m/>
    <m/>
    <m/>
    <x v="1"/>
    <x v="4"/>
    <x v="1"/>
    <x v="3"/>
    <x v="3"/>
    <x v="2"/>
    <x v="1"/>
    <x v="2"/>
    <x v="5"/>
    <x v="2"/>
    <x v="1"/>
    <x v="3"/>
    <x v="2"/>
    <x v="1"/>
    <x v="3"/>
    <x v="2"/>
    <x v="4"/>
    <x v="2"/>
    <x v="4"/>
    <x v="2"/>
    <x v="3"/>
    <x v="3"/>
    <n v="6.67"/>
    <n v="6.67"/>
    <n v="3.33"/>
    <m/>
  </r>
  <r>
    <m/>
    <x v="5"/>
    <x v="2"/>
    <x v="1"/>
    <m/>
    <m/>
    <m/>
    <x v="0"/>
    <m/>
    <x v="0"/>
    <m/>
    <m/>
    <m/>
    <m/>
    <m/>
    <m/>
    <m/>
    <m/>
    <m/>
    <m/>
    <m/>
    <m/>
    <x v="0"/>
    <x v="0"/>
    <x v="0"/>
    <m/>
    <m/>
    <x v="0"/>
    <m/>
    <m/>
    <m/>
    <m/>
    <m/>
    <m/>
    <x v="0"/>
    <x v="0"/>
    <x v="1"/>
    <x v="3"/>
    <x v="2"/>
    <x v="2"/>
    <x v="1"/>
    <x v="2"/>
    <x v="1"/>
    <x v="2"/>
    <x v="1"/>
    <x v="3"/>
    <x v="2"/>
    <x v="1"/>
    <x v="2"/>
    <x v="1"/>
    <x v="2"/>
    <x v="2"/>
    <x v="2"/>
    <x v="2"/>
    <x v="2"/>
    <x v="1"/>
    <n v="10"/>
    <n v="10"/>
    <n v="10"/>
    <n v="3.33"/>
  </r>
  <r>
    <m/>
    <x v="5"/>
    <x v="2"/>
    <x v="1"/>
    <m/>
    <m/>
    <m/>
    <x v="0"/>
    <m/>
    <x v="0"/>
    <m/>
    <m/>
    <m/>
    <m/>
    <m/>
    <m/>
    <m/>
    <m/>
    <m/>
    <m/>
    <m/>
    <m/>
    <x v="0"/>
    <x v="0"/>
    <x v="0"/>
    <m/>
    <m/>
    <x v="0"/>
    <m/>
    <m/>
    <m/>
    <m/>
    <m/>
    <m/>
    <x v="0"/>
    <x v="0"/>
    <x v="0"/>
    <x v="2"/>
    <x v="4"/>
    <x v="2"/>
    <x v="0"/>
    <x v="1"/>
    <x v="2"/>
    <x v="2"/>
    <x v="1"/>
    <x v="3"/>
    <x v="2"/>
    <x v="2"/>
    <x v="1"/>
    <x v="6"/>
    <x v="0"/>
    <x v="2"/>
    <x v="3"/>
    <x v="2"/>
    <x v="2"/>
    <x v="1"/>
    <n v="10"/>
    <n v="10"/>
    <n v="10"/>
    <n v="10"/>
  </r>
  <r>
    <m/>
    <x v="5"/>
    <x v="0"/>
    <x v="1"/>
    <m/>
    <m/>
    <m/>
    <x v="1"/>
    <m/>
    <x v="2"/>
    <m/>
    <m/>
    <m/>
    <m/>
    <m/>
    <m/>
    <m/>
    <m/>
    <m/>
    <m/>
    <m/>
    <m/>
    <x v="0"/>
    <x v="0"/>
    <x v="1"/>
    <m/>
    <m/>
    <x v="1"/>
    <m/>
    <m/>
    <m/>
    <m/>
    <m/>
    <m/>
    <x v="1"/>
    <x v="2"/>
    <x v="2"/>
    <x v="3"/>
    <x v="4"/>
    <x v="3"/>
    <x v="3"/>
    <x v="2"/>
    <x v="2"/>
    <x v="3"/>
    <x v="2"/>
    <x v="2"/>
    <x v="1"/>
    <x v="2"/>
    <x v="1"/>
    <x v="2"/>
    <x v="4"/>
    <x v="3"/>
    <x v="4"/>
    <x v="4"/>
    <x v="4"/>
    <x v="3"/>
    <n v="6.67"/>
    <n v="10"/>
    <n v="3.33"/>
    <n v="6.67"/>
  </r>
  <r>
    <m/>
    <x v="5"/>
    <x v="0"/>
    <x v="1"/>
    <m/>
    <m/>
    <m/>
    <x v="1"/>
    <m/>
    <x v="2"/>
    <m/>
    <m/>
    <m/>
    <m/>
    <m/>
    <m/>
    <m/>
    <m/>
    <m/>
    <m/>
    <m/>
    <m/>
    <x v="0"/>
    <x v="0"/>
    <x v="1"/>
    <m/>
    <m/>
    <x v="0"/>
    <m/>
    <m/>
    <m/>
    <m/>
    <m/>
    <m/>
    <x v="1"/>
    <x v="0"/>
    <x v="1"/>
    <x v="3"/>
    <x v="2"/>
    <x v="2"/>
    <x v="1"/>
    <x v="2"/>
    <x v="1"/>
    <x v="2"/>
    <x v="0"/>
    <x v="2"/>
    <x v="1"/>
    <x v="1"/>
    <x v="1"/>
    <x v="2"/>
    <x v="4"/>
    <x v="3"/>
    <x v="2"/>
    <x v="2"/>
    <x v="3"/>
    <x v="3"/>
    <n v="6.67"/>
    <n v="10"/>
    <n v="0"/>
    <n v="6.67"/>
  </r>
  <r>
    <m/>
    <x v="5"/>
    <x v="0"/>
    <x v="0"/>
    <m/>
    <m/>
    <m/>
    <x v="0"/>
    <m/>
    <x v="2"/>
    <m/>
    <m/>
    <m/>
    <m/>
    <m/>
    <m/>
    <m/>
    <m/>
    <m/>
    <m/>
    <m/>
    <m/>
    <x v="0"/>
    <x v="0"/>
    <x v="0"/>
    <m/>
    <m/>
    <x v="0"/>
    <m/>
    <m/>
    <m/>
    <m/>
    <m/>
    <m/>
    <x v="1"/>
    <x v="2"/>
    <x v="1"/>
    <x v="3"/>
    <x v="2"/>
    <x v="2"/>
    <x v="1"/>
    <x v="2"/>
    <x v="1"/>
    <x v="2"/>
    <x v="2"/>
    <x v="3"/>
    <x v="2"/>
    <x v="1"/>
    <x v="2"/>
    <x v="2"/>
    <x v="1"/>
    <x v="2"/>
    <x v="3"/>
    <x v="2"/>
    <x v="3"/>
    <x v="5"/>
    <n v="10"/>
    <n v="10"/>
    <n v="3.33"/>
    <n v="10"/>
  </r>
  <r>
    <m/>
    <x v="5"/>
    <x v="0"/>
    <x v="1"/>
    <m/>
    <m/>
    <m/>
    <x v="0"/>
    <m/>
    <x v="2"/>
    <m/>
    <m/>
    <m/>
    <m/>
    <m/>
    <m/>
    <m/>
    <m/>
    <m/>
    <m/>
    <m/>
    <m/>
    <x v="0"/>
    <x v="0"/>
    <x v="0"/>
    <m/>
    <m/>
    <x v="0"/>
    <m/>
    <m/>
    <m/>
    <m/>
    <m/>
    <m/>
    <x v="0"/>
    <x v="5"/>
    <x v="1"/>
    <x v="2"/>
    <x v="2"/>
    <x v="3"/>
    <x v="1"/>
    <x v="1"/>
    <x v="1"/>
    <x v="3"/>
    <x v="1"/>
    <x v="3"/>
    <x v="2"/>
    <x v="0"/>
    <x v="1"/>
    <x v="6"/>
    <x v="0"/>
    <x v="2"/>
    <x v="4"/>
    <x v="2"/>
    <x v="7"/>
    <x v="3"/>
    <n v="10"/>
    <m/>
    <n v="3.33"/>
    <n v="6.67"/>
  </r>
  <r>
    <m/>
    <x v="5"/>
    <x v="0"/>
    <x v="1"/>
    <m/>
    <m/>
    <m/>
    <x v="1"/>
    <m/>
    <x v="2"/>
    <m/>
    <m/>
    <m/>
    <m/>
    <m/>
    <m/>
    <m/>
    <m/>
    <m/>
    <m/>
    <m/>
    <m/>
    <x v="0"/>
    <x v="0"/>
    <x v="1"/>
    <m/>
    <m/>
    <x v="1"/>
    <m/>
    <m/>
    <m/>
    <m/>
    <m/>
    <m/>
    <x v="1"/>
    <x v="4"/>
    <x v="2"/>
    <x v="3"/>
    <x v="4"/>
    <x v="3"/>
    <x v="3"/>
    <x v="2"/>
    <x v="2"/>
    <x v="3"/>
    <x v="2"/>
    <x v="2"/>
    <x v="1"/>
    <x v="2"/>
    <x v="1"/>
    <x v="2"/>
    <x v="4"/>
    <x v="3"/>
    <x v="3"/>
    <x v="4"/>
    <x v="0"/>
    <x v="3"/>
    <n v="6.67"/>
    <n v="6.67"/>
    <n v="3.33"/>
    <n v="6.67"/>
  </r>
  <r>
    <m/>
    <x v="5"/>
    <x v="0"/>
    <x v="1"/>
    <m/>
    <m/>
    <m/>
    <x v="1"/>
    <m/>
    <x v="0"/>
    <m/>
    <m/>
    <m/>
    <m/>
    <m/>
    <m/>
    <m/>
    <m/>
    <m/>
    <m/>
    <m/>
    <m/>
    <x v="0"/>
    <x v="0"/>
    <x v="1"/>
    <m/>
    <m/>
    <x v="1"/>
    <m/>
    <m/>
    <m/>
    <m/>
    <m/>
    <m/>
    <x v="1"/>
    <x v="2"/>
    <x v="2"/>
    <x v="3"/>
    <x v="4"/>
    <x v="3"/>
    <x v="3"/>
    <x v="2"/>
    <x v="2"/>
    <x v="3"/>
    <x v="2"/>
    <x v="2"/>
    <x v="1"/>
    <x v="2"/>
    <x v="1"/>
    <x v="2"/>
    <x v="4"/>
    <x v="5"/>
    <x v="0"/>
    <x v="0"/>
    <x v="4"/>
    <x v="5"/>
    <n v="6.67"/>
    <n v="6.67"/>
    <m/>
    <n v="6.67"/>
  </r>
  <r>
    <m/>
    <x v="5"/>
    <x v="0"/>
    <x v="1"/>
    <m/>
    <m/>
    <m/>
    <x v="1"/>
    <m/>
    <x v="0"/>
    <m/>
    <m/>
    <m/>
    <m/>
    <m/>
    <m/>
    <m/>
    <m/>
    <m/>
    <m/>
    <m/>
    <m/>
    <x v="5"/>
    <x v="1"/>
    <x v="1"/>
    <m/>
    <m/>
    <x v="0"/>
    <m/>
    <m/>
    <m/>
    <m/>
    <m/>
    <m/>
    <x v="1"/>
    <x v="1"/>
    <x v="5"/>
    <x v="4"/>
    <x v="4"/>
    <x v="2"/>
    <x v="5"/>
    <x v="5"/>
    <x v="2"/>
    <x v="2"/>
    <x v="5"/>
    <x v="2"/>
    <x v="1"/>
    <x v="1"/>
    <x v="2"/>
    <x v="2"/>
    <x v="4"/>
    <x v="3"/>
    <x v="4"/>
    <x v="4"/>
    <x v="4"/>
    <x v="1"/>
    <n v="6.67"/>
    <n v="3.33"/>
    <n v="3.33"/>
    <n v="3.33"/>
  </r>
  <r>
    <m/>
    <x v="5"/>
    <x v="0"/>
    <x v="0"/>
    <m/>
    <m/>
    <m/>
    <x v="1"/>
    <m/>
    <x v="2"/>
    <m/>
    <m/>
    <m/>
    <m/>
    <m/>
    <m/>
    <m/>
    <m/>
    <m/>
    <m/>
    <m/>
    <m/>
    <x v="0"/>
    <x v="0"/>
    <x v="0"/>
    <m/>
    <m/>
    <x v="0"/>
    <m/>
    <m/>
    <m/>
    <m/>
    <m/>
    <m/>
    <x v="1"/>
    <x v="1"/>
    <x v="2"/>
    <x v="3"/>
    <x v="4"/>
    <x v="2"/>
    <x v="3"/>
    <x v="2"/>
    <x v="2"/>
    <x v="2"/>
    <x v="1"/>
    <x v="3"/>
    <x v="2"/>
    <x v="2"/>
    <x v="1"/>
    <x v="2"/>
    <x v="2"/>
    <x v="2"/>
    <x v="3"/>
    <x v="2"/>
    <x v="3"/>
    <x v="3"/>
    <n v="6.67"/>
    <n v="6.67"/>
    <n v="6.67"/>
    <n v="10"/>
  </r>
  <r>
    <m/>
    <x v="5"/>
    <x v="0"/>
    <x v="0"/>
    <m/>
    <m/>
    <m/>
    <x v="1"/>
    <m/>
    <x v="5"/>
    <m/>
    <m/>
    <m/>
    <m/>
    <m/>
    <m/>
    <m/>
    <m/>
    <m/>
    <m/>
    <m/>
    <m/>
    <x v="0"/>
    <x v="0"/>
    <x v="5"/>
    <m/>
    <m/>
    <x v="5"/>
    <m/>
    <m/>
    <m/>
    <m/>
    <m/>
    <m/>
    <x v="5"/>
    <x v="2"/>
    <x v="2"/>
    <x v="0"/>
    <x v="4"/>
    <x v="3"/>
    <x v="3"/>
    <x v="0"/>
    <x v="2"/>
    <x v="3"/>
    <x v="0"/>
    <x v="2"/>
    <x v="1"/>
    <x v="0"/>
    <x v="1"/>
    <x v="2"/>
    <x v="4"/>
    <x v="2"/>
    <x v="4"/>
    <x v="4"/>
    <x v="0"/>
    <x v="5"/>
    <m/>
    <m/>
    <n v="6.67"/>
    <n v="6.67"/>
  </r>
  <r>
    <m/>
    <x v="5"/>
    <x v="4"/>
    <x v="1"/>
    <m/>
    <m/>
    <m/>
    <x v="0"/>
    <m/>
    <x v="0"/>
    <m/>
    <m/>
    <m/>
    <m/>
    <m/>
    <m/>
    <m/>
    <m/>
    <m/>
    <m/>
    <m/>
    <m/>
    <x v="5"/>
    <x v="2"/>
    <x v="0"/>
    <m/>
    <m/>
    <x v="0"/>
    <m/>
    <m/>
    <m/>
    <m/>
    <m/>
    <m/>
    <x v="0"/>
    <x v="0"/>
    <x v="1"/>
    <x v="2"/>
    <x v="2"/>
    <x v="2"/>
    <x v="1"/>
    <x v="1"/>
    <x v="1"/>
    <x v="2"/>
    <x v="1"/>
    <x v="3"/>
    <x v="2"/>
    <x v="0"/>
    <x v="0"/>
    <x v="1"/>
    <x v="2"/>
    <x v="2"/>
    <x v="2"/>
    <x v="2"/>
    <x v="2"/>
    <x v="1"/>
    <n v="10"/>
    <n v="10"/>
    <n v="10"/>
    <n v="3.33"/>
  </r>
  <r>
    <m/>
    <x v="5"/>
    <x v="4"/>
    <x v="2"/>
    <m/>
    <m/>
    <m/>
    <x v="0"/>
    <m/>
    <x v="0"/>
    <m/>
    <m/>
    <m/>
    <m/>
    <m/>
    <m/>
    <m/>
    <m/>
    <m/>
    <m/>
    <m/>
    <m/>
    <x v="5"/>
    <x v="0"/>
    <x v="0"/>
    <m/>
    <m/>
    <x v="0"/>
    <m/>
    <m/>
    <m/>
    <m/>
    <m/>
    <m/>
    <x v="0"/>
    <x v="0"/>
    <x v="1"/>
    <x v="2"/>
    <x v="2"/>
    <x v="2"/>
    <x v="1"/>
    <x v="1"/>
    <x v="1"/>
    <x v="2"/>
    <x v="1"/>
    <x v="3"/>
    <x v="2"/>
    <x v="1"/>
    <x v="2"/>
    <x v="1"/>
    <x v="2"/>
    <x v="2"/>
    <x v="2"/>
    <x v="2"/>
    <x v="2"/>
    <x v="1"/>
    <n v="10"/>
    <n v="10"/>
    <n v="10"/>
    <n v="0"/>
  </r>
  <r>
    <m/>
    <x v="5"/>
    <x v="0"/>
    <x v="1"/>
    <m/>
    <m/>
    <m/>
    <x v="2"/>
    <m/>
    <x v="2"/>
    <m/>
    <m/>
    <m/>
    <m/>
    <m/>
    <m/>
    <m/>
    <m/>
    <m/>
    <m/>
    <m/>
    <m/>
    <x v="2"/>
    <x v="2"/>
    <x v="3"/>
    <m/>
    <m/>
    <x v="1"/>
    <m/>
    <m/>
    <m/>
    <m/>
    <m/>
    <m/>
    <x v="7"/>
    <x v="1"/>
    <x v="2"/>
    <x v="3"/>
    <x v="3"/>
    <x v="4"/>
    <x v="3"/>
    <x v="2"/>
    <x v="5"/>
    <x v="4"/>
    <x v="3"/>
    <x v="3"/>
    <x v="1"/>
    <x v="2"/>
    <x v="1"/>
    <x v="4"/>
    <x v="4"/>
    <x v="5"/>
    <x v="3"/>
    <x v="2"/>
    <x v="3"/>
    <x v="3"/>
    <n v="6.67"/>
    <n v="3.33"/>
    <n v="6.67"/>
    <n v="10"/>
  </r>
  <r>
    <m/>
    <x v="5"/>
    <x v="4"/>
    <x v="1"/>
    <m/>
    <m/>
    <m/>
    <x v="0"/>
    <m/>
    <x v="0"/>
    <m/>
    <m/>
    <m/>
    <m/>
    <m/>
    <m/>
    <m/>
    <m/>
    <m/>
    <m/>
    <m/>
    <m/>
    <x v="0"/>
    <x v="0"/>
    <x v="0"/>
    <m/>
    <m/>
    <x v="0"/>
    <m/>
    <m/>
    <m/>
    <m/>
    <m/>
    <m/>
    <x v="0"/>
    <x v="0"/>
    <x v="1"/>
    <x v="2"/>
    <x v="2"/>
    <x v="2"/>
    <x v="1"/>
    <x v="1"/>
    <x v="1"/>
    <x v="2"/>
    <x v="1"/>
    <x v="3"/>
    <x v="2"/>
    <x v="1"/>
    <x v="2"/>
    <x v="1"/>
    <x v="2"/>
    <x v="2"/>
    <x v="2"/>
    <x v="5"/>
    <x v="0"/>
    <x v="1"/>
    <m/>
    <m/>
    <m/>
    <n v="10"/>
  </r>
  <r>
    <m/>
    <x v="5"/>
    <x v="4"/>
    <x v="0"/>
    <m/>
    <m/>
    <m/>
    <x v="0"/>
    <m/>
    <x v="0"/>
    <m/>
    <m/>
    <m/>
    <m/>
    <m/>
    <m/>
    <m/>
    <m/>
    <m/>
    <m/>
    <m/>
    <m/>
    <x v="0"/>
    <x v="0"/>
    <x v="0"/>
    <m/>
    <m/>
    <x v="0"/>
    <m/>
    <m/>
    <m/>
    <m/>
    <m/>
    <m/>
    <x v="0"/>
    <x v="0"/>
    <x v="1"/>
    <x v="2"/>
    <x v="2"/>
    <x v="3"/>
    <x v="1"/>
    <x v="1"/>
    <x v="1"/>
    <x v="3"/>
    <x v="1"/>
    <x v="3"/>
    <x v="2"/>
    <x v="1"/>
    <x v="2"/>
    <x v="1"/>
    <x v="2"/>
    <x v="2"/>
    <x v="2"/>
    <x v="1"/>
    <x v="2"/>
    <x v="1"/>
    <m/>
    <m/>
    <n v="10"/>
    <n v="6.67"/>
  </r>
  <r>
    <m/>
    <x v="5"/>
    <x v="4"/>
    <x v="1"/>
    <m/>
    <m/>
    <m/>
    <x v="1"/>
    <m/>
    <x v="2"/>
    <m/>
    <m/>
    <m/>
    <m/>
    <m/>
    <m/>
    <m/>
    <m/>
    <m/>
    <m/>
    <m/>
    <m/>
    <x v="0"/>
    <x v="0"/>
    <x v="1"/>
    <m/>
    <m/>
    <x v="1"/>
    <m/>
    <m/>
    <m/>
    <m/>
    <m/>
    <m/>
    <x v="5"/>
    <x v="2"/>
    <x v="2"/>
    <x v="3"/>
    <x v="4"/>
    <x v="3"/>
    <x v="3"/>
    <x v="2"/>
    <x v="2"/>
    <x v="3"/>
    <x v="2"/>
    <x v="2"/>
    <x v="1"/>
    <x v="2"/>
    <x v="1"/>
    <x v="2"/>
    <x v="4"/>
    <x v="3"/>
    <x v="4"/>
    <x v="4"/>
    <x v="3"/>
    <x v="3"/>
    <n v="6.67"/>
    <n v="6.67"/>
    <n v="6.67"/>
    <n v="6.67"/>
  </r>
  <r>
    <m/>
    <x v="5"/>
    <x v="0"/>
    <x v="1"/>
    <m/>
    <m/>
    <m/>
    <x v="1"/>
    <m/>
    <x v="2"/>
    <m/>
    <m/>
    <m/>
    <m/>
    <m/>
    <m/>
    <m/>
    <m/>
    <m/>
    <m/>
    <m/>
    <m/>
    <x v="0"/>
    <x v="0"/>
    <x v="1"/>
    <m/>
    <m/>
    <x v="1"/>
    <m/>
    <m/>
    <m/>
    <m/>
    <m/>
    <m/>
    <x v="1"/>
    <x v="2"/>
    <x v="1"/>
    <x v="2"/>
    <x v="4"/>
    <x v="3"/>
    <x v="1"/>
    <x v="1"/>
    <x v="2"/>
    <x v="3"/>
    <x v="2"/>
    <x v="2"/>
    <x v="1"/>
    <x v="2"/>
    <x v="1"/>
    <x v="2"/>
    <x v="4"/>
    <x v="3"/>
    <x v="3"/>
    <x v="4"/>
    <x v="3"/>
    <x v="3"/>
    <n v="6.67"/>
    <n v="6.67"/>
    <n v="3.33"/>
    <n v="6.67"/>
  </r>
  <r>
    <m/>
    <x v="5"/>
    <x v="0"/>
    <x v="1"/>
    <m/>
    <m/>
    <m/>
    <x v="1"/>
    <m/>
    <x v="2"/>
    <m/>
    <m/>
    <m/>
    <m/>
    <m/>
    <m/>
    <m/>
    <m/>
    <m/>
    <m/>
    <m/>
    <m/>
    <x v="0"/>
    <x v="0"/>
    <x v="1"/>
    <m/>
    <m/>
    <x v="0"/>
    <m/>
    <m/>
    <m/>
    <m/>
    <m/>
    <m/>
    <x v="0"/>
    <x v="0"/>
    <x v="1"/>
    <x v="2"/>
    <x v="2"/>
    <x v="2"/>
    <x v="1"/>
    <x v="1"/>
    <x v="1"/>
    <x v="2"/>
    <x v="1"/>
    <x v="2"/>
    <x v="2"/>
    <x v="1"/>
    <x v="1"/>
    <x v="2"/>
    <x v="4"/>
    <x v="3"/>
    <x v="4"/>
    <x v="1"/>
    <x v="3"/>
    <x v="1"/>
    <n v="10"/>
    <n v="6.67"/>
    <n v="6.67"/>
    <n v="6.67"/>
  </r>
  <r>
    <m/>
    <x v="5"/>
    <x v="4"/>
    <x v="1"/>
    <m/>
    <m/>
    <m/>
    <x v="1"/>
    <m/>
    <x v="2"/>
    <m/>
    <m/>
    <m/>
    <m/>
    <m/>
    <m/>
    <m/>
    <m/>
    <m/>
    <m/>
    <m/>
    <m/>
    <x v="0"/>
    <x v="0"/>
    <x v="1"/>
    <m/>
    <m/>
    <x v="2"/>
    <m/>
    <m/>
    <m/>
    <m/>
    <m/>
    <m/>
    <x v="0"/>
    <x v="5"/>
    <x v="2"/>
    <x v="3"/>
    <x v="2"/>
    <x v="3"/>
    <x v="3"/>
    <x v="2"/>
    <x v="1"/>
    <x v="3"/>
    <x v="1"/>
    <x v="3"/>
    <x v="2"/>
    <x v="1"/>
    <x v="1"/>
    <x v="0"/>
    <x v="4"/>
    <x v="2"/>
    <x v="2"/>
    <x v="0"/>
    <x v="0"/>
    <x v="0"/>
    <m/>
    <m/>
    <n v="3.33"/>
    <n v="3.33"/>
  </r>
  <r>
    <m/>
    <x v="5"/>
    <x v="4"/>
    <x v="0"/>
    <m/>
    <m/>
    <m/>
    <x v="0"/>
    <m/>
    <x v="2"/>
    <m/>
    <m/>
    <m/>
    <m/>
    <m/>
    <m/>
    <m/>
    <m/>
    <m/>
    <m/>
    <m/>
    <m/>
    <x v="3"/>
    <x v="0"/>
    <x v="1"/>
    <m/>
    <m/>
    <x v="0"/>
    <m/>
    <m/>
    <m/>
    <m/>
    <m/>
    <m/>
    <x v="1"/>
    <x v="2"/>
    <x v="1"/>
    <x v="2"/>
    <x v="4"/>
    <x v="3"/>
    <x v="1"/>
    <x v="1"/>
    <x v="2"/>
    <x v="3"/>
    <x v="1"/>
    <x v="3"/>
    <x v="2"/>
    <x v="1"/>
    <x v="2"/>
    <x v="1"/>
    <x v="4"/>
    <x v="2"/>
    <x v="4"/>
    <x v="2"/>
    <x v="5"/>
    <x v="3"/>
    <n v="0"/>
    <n v="0"/>
    <n v="6.67"/>
    <n v="3.33"/>
  </r>
  <r>
    <m/>
    <x v="5"/>
    <x v="0"/>
    <x v="0"/>
    <m/>
    <m/>
    <m/>
    <x v="1"/>
    <m/>
    <x v="2"/>
    <m/>
    <m/>
    <m/>
    <m/>
    <m/>
    <m/>
    <m/>
    <m/>
    <m/>
    <m/>
    <m/>
    <m/>
    <x v="3"/>
    <x v="1"/>
    <x v="1"/>
    <m/>
    <m/>
    <x v="1"/>
    <m/>
    <m/>
    <m/>
    <m/>
    <m/>
    <m/>
    <x v="1"/>
    <x v="2"/>
    <x v="2"/>
    <x v="3"/>
    <x v="4"/>
    <x v="3"/>
    <x v="3"/>
    <x v="2"/>
    <x v="2"/>
    <x v="3"/>
    <x v="2"/>
    <x v="2"/>
    <x v="1"/>
    <x v="0"/>
    <x v="1"/>
    <x v="2"/>
    <x v="0"/>
    <x v="3"/>
    <x v="3"/>
    <x v="4"/>
    <x v="3"/>
    <x v="3"/>
    <n v="6.67"/>
    <n v="6.67"/>
    <n v="6.67"/>
    <n v="6.67"/>
  </r>
  <r>
    <m/>
    <x v="5"/>
    <x v="4"/>
    <x v="1"/>
    <m/>
    <m/>
    <m/>
    <x v="0"/>
    <m/>
    <x v="0"/>
    <m/>
    <m/>
    <m/>
    <m/>
    <m/>
    <m/>
    <m/>
    <m/>
    <m/>
    <m/>
    <m/>
    <m/>
    <x v="0"/>
    <x v="0"/>
    <x v="1"/>
    <m/>
    <m/>
    <x v="0"/>
    <m/>
    <m/>
    <m/>
    <m/>
    <m/>
    <m/>
    <x v="5"/>
    <x v="5"/>
    <x v="2"/>
    <x v="3"/>
    <x v="3"/>
    <x v="2"/>
    <x v="3"/>
    <x v="2"/>
    <x v="5"/>
    <x v="2"/>
    <x v="0"/>
    <x v="3"/>
    <x v="2"/>
    <x v="0"/>
    <x v="1"/>
    <x v="2"/>
    <x v="0"/>
    <x v="2"/>
    <x v="2"/>
    <x v="4"/>
    <x v="0"/>
    <x v="3"/>
    <m/>
    <m/>
    <m/>
    <n v="6.67"/>
  </r>
  <r>
    <m/>
    <x v="5"/>
    <x v="4"/>
    <x v="0"/>
    <m/>
    <m/>
    <m/>
    <x v="0"/>
    <m/>
    <x v="0"/>
    <m/>
    <m/>
    <m/>
    <m/>
    <m/>
    <m/>
    <m/>
    <m/>
    <m/>
    <m/>
    <m/>
    <m/>
    <x v="5"/>
    <x v="0"/>
    <x v="3"/>
    <m/>
    <m/>
    <x v="0"/>
    <m/>
    <m/>
    <m/>
    <m/>
    <m/>
    <m/>
    <x v="1"/>
    <x v="4"/>
    <x v="1"/>
    <x v="2"/>
    <x v="2"/>
    <x v="2"/>
    <x v="1"/>
    <x v="1"/>
    <x v="1"/>
    <x v="2"/>
    <x v="1"/>
    <x v="3"/>
    <x v="2"/>
    <x v="1"/>
    <x v="1"/>
    <x v="1"/>
    <x v="2"/>
    <x v="2"/>
    <x v="7"/>
    <x v="2"/>
    <x v="5"/>
    <x v="3"/>
    <n v="6.67"/>
    <n v="10"/>
    <n v="0"/>
    <n v="6.67"/>
  </r>
  <r>
    <m/>
    <x v="5"/>
    <x v="4"/>
    <x v="0"/>
    <m/>
    <m/>
    <m/>
    <x v="1"/>
    <m/>
    <x v="2"/>
    <m/>
    <m/>
    <m/>
    <m/>
    <m/>
    <m/>
    <m/>
    <m/>
    <m/>
    <m/>
    <m/>
    <m/>
    <x v="0"/>
    <x v="0"/>
    <x v="1"/>
    <m/>
    <m/>
    <x v="1"/>
    <m/>
    <m/>
    <m/>
    <m/>
    <m/>
    <m/>
    <x v="1"/>
    <x v="2"/>
    <x v="2"/>
    <x v="3"/>
    <x v="4"/>
    <x v="3"/>
    <x v="3"/>
    <x v="2"/>
    <x v="2"/>
    <x v="3"/>
    <x v="2"/>
    <x v="2"/>
    <x v="2"/>
    <x v="0"/>
    <x v="1"/>
    <x v="2"/>
    <x v="2"/>
    <x v="2"/>
    <x v="3"/>
    <x v="4"/>
    <x v="3"/>
    <x v="3"/>
    <n v="6.67"/>
    <n v="6.67"/>
    <n v="3.33"/>
    <n v="10"/>
  </r>
  <r>
    <m/>
    <x v="5"/>
    <x v="4"/>
    <x v="1"/>
    <m/>
    <m/>
    <m/>
    <x v="0"/>
    <m/>
    <x v="0"/>
    <m/>
    <m/>
    <m/>
    <m/>
    <m/>
    <m/>
    <m/>
    <m/>
    <m/>
    <m/>
    <m/>
    <m/>
    <x v="2"/>
    <x v="0"/>
    <x v="1"/>
    <m/>
    <m/>
    <x v="0"/>
    <m/>
    <m/>
    <m/>
    <m/>
    <m/>
    <m/>
    <x v="4"/>
    <x v="1"/>
    <x v="5"/>
    <x v="3"/>
    <x v="4"/>
    <x v="3"/>
    <x v="5"/>
    <x v="2"/>
    <x v="2"/>
    <x v="3"/>
    <x v="2"/>
    <x v="2"/>
    <x v="4"/>
    <x v="1"/>
    <x v="7"/>
    <x v="4"/>
    <x v="1"/>
    <x v="2"/>
    <x v="3"/>
    <x v="2"/>
    <x v="3"/>
    <x v="1"/>
    <n v="0"/>
    <n v="0"/>
    <n v="6.67"/>
    <n v="6.67"/>
  </r>
  <r>
    <m/>
    <x v="5"/>
    <x v="4"/>
    <x v="1"/>
    <m/>
    <m/>
    <m/>
    <x v="0"/>
    <m/>
    <x v="5"/>
    <m/>
    <m/>
    <m/>
    <m/>
    <m/>
    <m/>
    <m/>
    <m/>
    <m/>
    <m/>
    <m/>
    <m/>
    <x v="0"/>
    <x v="0"/>
    <x v="1"/>
    <m/>
    <m/>
    <x v="0"/>
    <m/>
    <m/>
    <m/>
    <m/>
    <m/>
    <m/>
    <x v="0"/>
    <x v="0"/>
    <x v="1"/>
    <x v="2"/>
    <x v="2"/>
    <x v="2"/>
    <x v="1"/>
    <x v="1"/>
    <x v="1"/>
    <x v="2"/>
    <x v="2"/>
    <x v="3"/>
    <x v="2"/>
    <x v="0"/>
    <x v="2"/>
    <x v="1"/>
    <x v="2"/>
    <x v="2"/>
    <x v="2"/>
    <x v="2"/>
    <x v="2"/>
    <x v="1"/>
    <n v="10"/>
    <m/>
    <n v="10"/>
    <m/>
  </r>
  <r>
    <m/>
    <x v="5"/>
    <x v="4"/>
    <x v="0"/>
    <m/>
    <m/>
    <m/>
    <x v="0"/>
    <m/>
    <x v="5"/>
    <m/>
    <m/>
    <m/>
    <m/>
    <m/>
    <m/>
    <m/>
    <m/>
    <m/>
    <m/>
    <m/>
    <m/>
    <x v="0"/>
    <x v="0"/>
    <x v="0"/>
    <m/>
    <m/>
    <x v="0"/>
    <m/>
    <m/>
    <m/>
    <m/>
    <m/>
    <m/>
    <x v="0"/>
    <x v="5"/>
    <x v="1"/>
    <x v="2"/>
    <x v="4"/>
    <x v="2"/>
    <x v="1"/>
    <x v="1"/>
    <x v="2"/>
    <x v="2"/>
    <x v="1"/>
    <x v="3"/>
    <x v="2"/>
    <x v="1"/>
    <x v="2"/>
    <x v="0"/>
    <x v="0"/>
    <x v="2"/>
    <x v="2"/>
    <x v="2"/>
    <x v="0"/>
    <x v="1"/>
    <n v="10"/>
    <n v="10"/>
    <m/>
    <m/>
  </r>
  <r>
    <m/>
    <x v="5"/>
    <x v="4"/>
    <x v="0"/>
    <m/>
    <m/>
    <m/>
    <x v="6"/>
    <m/>
    <x v="5"/>
    <m/>
    <m/>
    <m/>
    <m/>
    <m/>
    <m/>
    <m/>
    <m/>
    <m/>
    <m/>
    <m/>
    <m/>
    <x v="4"/>
    <x v="4"/>
    <x v="5"/>
    <m/>
    <m/>
    <x v="7"/>
    <m/>
    <m/>
    <m/>
    <m/>
    <m/>
    <m/>
    <x v="5"/>
    <x v="1"/>
    <x v="0"/>
    <x v="0"/>
    <x v="5"/>
    <x v="5"/>
    <x v="0"/>
    <x v="0"/>
    <x v="7"/>
    <x v="7"/>
    <x v="0"/>
    <x v="5"/>
    <x v="0"/>
    <x v="0"/>
    <x v="4"/>
    <x v="6"/>
    <x v="0"/>
    <x v="0"/>
    <x v="5"/>
    <x v="0"/>
    <x v="0"/>
    <x v="0"/>
    <m/>
    <m/>
    <m/>
    <n v="10"/>
  </r>
  <r>
    <m/>
    <x v="5"/>
    <x v="4"/>
    <x v="0"/>
    <m/>
    <m/>
    <m/>
    <x v="1"/>
    <m/>
    <x v="5"/>
    <m/>
    <m/>
    <m/>
    <m/>
    <m/>
    <m/>
    <m/>
    <m/>
    <m/>
    <m/>
    <m/>
    <m/>
    <x v="0"/>
    <x v="0"/>
    <x v="0"/>
    <m/>
    <m/>
    <x v="0"/>
    <m/>
    <m/>
    <m/>
    <m/>
    <m/>
    <m/>
    <x v="0"/>
    <x v="0"/>
    <x v="2"/>
    <x v="2"/>
    <x v="4"/>
    <x v="2"/>
    <x v="3"/>
    <x v="1"/>
    <x v="2"/>
    <x v="2"/>
    <x v="1"/>
    <x v="3"/>
    <x v="2"/>
    <x v="1"/>
    <x v="2"/>
    <x v="1"/>
    <x v="2"/>
    <x v="2"/>
    <x v="2"/>
    <x v="2"/>
    <x v="5"/>
    <x v="4"/>
    <n v="0"/>
    <m/>
    <n v="10"/>
    <n v="0"/>
  </r>
  <r>
    <m/>
    <x v="5"/>
    <x v="4"/>
    <x v="3"/>
    <m/>
    <m/>
    <m/>
    <x v="1"/>
    <m/>
    <x v="2"/>
    <m/>
    <m/>
    <m/>
    <m/>
    <m/>
    <m/>
    <m/>
    <m/>
    <m/>
    <m/>
    <m/>
    <m/>
    <x v="0"/>
    <x v="0"/>
    <x v="1"/>
    <m/>
    <m/>
    <x v="5"/>
    <m/>
    <m/>
    <m/>
    <m/>
    <m/>
    <m/>
    <x v="1"/>
    <x v="5"/>
    <x v="0"/>
    <x v="3"/>
    <x v="4"/>
    <x v="3"/>
    <x v="0"/>
    <x v="2"/>
    <x v="2"/>
    <x v="3"/>
    <x v="2"/>
    <x v="5"/>
    <x v="1"/>
    <x v="1"/>
    <x v="1"/>
    <x v="6"/>
    <x v="0"/>
    <x v="3"/>
    <x v="3"/>
    <x v="4"/>
    <x v="0"/>
    <x v="5"/>
    <m/>
    <n v="6.67"/>
    <m/>
    <m/>
  </r>
  <r>
    <m/>
    <x v="5"/>
    <x v="0"/>
    <x v="1"/>
    <m/>
    <m/>
    <m/>
    <x v="0"/>
    <m/>
    <x v="0"/>
    <m/>
    <m/>
    <m/>
    <m/>
    <m/>
    <m/>
    <m/>
    <m/>
    <m/>
    <m/>
    <m/>
    <m/>
    <x v="0"/>
    <x v="0"/>
    <x v="0"/>
    <m/>
    <m/>
    <x v="0"/>
    <m/>
    <m/>
    <m/>
    <m/>
    <m/>
    <m/>
    <x v="0"/>
    <x v="0"/>
    <x v="1"/>
    <x v="2"/>
    <x v="2"/>
    <x v="2"/>
    <x v="1"/>
    <x v="1"/>
    <x v="1"/>
    <x v="2"/>
    <x v="1"/>
    <x v="3"/>
    <x v="2"/>
    <x v="1"/>
    <x v="2"/>
    <x v="1"/>
    <x v="2"/>
    <x v="2"/>
    <x v="2"/>
    <x v="2"/>
    <x v="3"/>
    <x v="1"/>
    <n v="10"/>
    <n v="10"/>
    <n v="10"/>
    <m/>
  </r>
  <r>
    <m/>
    <x v="5"/>
    <x v="4"/>
    <x v="1"/>
    <m/>
    <m/>
    <m/>
    <x v="0"/>
    <m/>
    <x v="2"/>
    <m/>
    <m/>
    <m/>
    <m/>
    <m/>
    <m/>
    <m/>
    <m/>
    <m/>
    <m/>
    <m/>
    <m/>
    <x v="0"/>
    <x v="0"/>
    <x v="0"/>
    <m/>
    <m/>
    <x v="0"/>
    <m/>
    <m/>
    <m/>
    <m/>
    <m/>
    <m/>
    <x v="0"/>
    <x v="0"/>
    <x v="1"/>
    <x v="2"/>
    <x v="2"/>
    <x v="3"/>
    <x v="1"/>
    <x v="1"/>
    <x v="1"/>
    <x v="3"/>
    <x v="1"/>
    <x v="3"/>
    <x v="2"/>
    <x v="0"/>
    <x v="2"/>
    <x v="1"/>
    <x v="0"/>
    <x v="2"/>
    <x v="3"/>
    <x v="2"/>
    <x v="3"/>
    <x v="1"/>
    <n v="10"/>
    <m/>
    <n v="3.33"/>
    <n v="10"/>
  </r>
  <r>
    <m/>
    <x v="5"/>
    <x v="4"/>
    <x v="1"/>
    <m/>
    <m/>
    <m/>
    <x v="0"/>
    <m/>
    <x v="5"/>
    <m/>
    <m/>
    <m/>
    <m/>
    <m/>
    <m/>
    <m/>
    <m/>
    <m/>
    <m/>
    <m/>
    <m/>
    <x v="0"/>
    <x v="0"/>
    <x v="0"/>
    <m/>
    <m/>
    <x v="0"/>
    <m/>
    <m/>
    <m/>
    <m/>
    <m/>
    <m/>
    <x v="0"/>
    <x v="0"/>
    <x v="1"/>
    <x v="2"/>
    <x v="2"/>
    <x v="2"/>
    <x v="1"/>
    <x v="1"/>
    <x v="1"/>
    <x v="2"/>
    <x v="1"/>
    <x v="3"/>
    <x v="2"/>
    <x v="1"/>
    <x v="2"/>
    <x v="1"/>
    <x v="2"/>
    <x v="2"/>
    <x v="2"/>
    <x v="2"/>
    <x v="3"/>
    <x v="1"/>
    <n v="6.67"/>
    <n v="10"/>
    <n v="3.33"/>
    <n v="10"/>
  </r>
  <r>
    <m/>
    <x v="5"/>
    <x v="4"/>
    <x v="1"/>
    <m/>
    <m/>
    <m/>
    <x v="0"/>
    <m/>
    <x v="5"/>
    <m/>
    <m/>
    <m/>
    <m/>
    <m/>
    <m/>
    <m/>
    <m/>
    <m/>
    <m/>
    <m/>
    <m/>
    <x v="0"/>
    <x v="0"/>
    <x v="0"/>
    <m/>
    <m/>
    <x v="0"/>
    <m/>
    <m/>
    <m/>
    <m/>
    <m/>
    <m/>
    <x v="0"/>
    <x v="0"/>
    <x v="1"/>
    <x v="2"/>
    <x v="2"/>
    <x v="2"/>
    <x v="1"/>
    <x v="1"/>
    <x v="1"/>
    <x v="2"/>
    <x v="1"/>
    <x v="3"/>
    <x v="2"/>
    <x v="1"/>
    <x v="2"/>
    <x v="1"/>
    <x v="2"/>
    <x v="2"/>
    <x v="2"/>
    <x v="2"/>
    <x v="2"/>
    <x v="1"/>
    <n v="6.67"/>
    <n v="10"/>
    <n v="3.33"/>
    <n v="3.33"/>
  </r>
  <r>
    <m/>
    <x v="5"/>
    <x v="4"/>
    <x v="1"/>
    <m/>
    <m/>
    <m/>
    <x v="0"/>
    <m/>
    <x v="5"/>
    <m/>
    <m/>
    <m/>
    <m/>
    <m/>
    <m/>
    <m/>
    <m/>
    <m/>
    <m/>
    <m/>
    <m/>
    <x v="0"/>
    <x v="0"/>
    <x v="0"/>
    <m/>
    <m/>
    <x v="0"/>
    <m/>
    <m/>
    <m/>
    <m/>
    <m/>
    <m/>
    <x v="0"/>
    <x v="0"/>
    <x v="1"/>
    <x v="2"/>
    <x v="2"/>
    <x v="2"/>
    <x v="1"/>
    <x v="1"/>
    <x v="1"/>
    <x v="2"/>
    <x v="1"/>
    <x v="3"/>
    <x v="2"/>
    <x v="1"/>
    <x v="2"/>
    <x v="1"/>
    <x v="2"/>
    <x v="2"/>
    <x v="2"/>
    <x v="2"/>
    <x v="2"/>
    <x v="1"/>
    <n v="6.67"/>
    <n v="10"/>
    <n v="10"/>
    <n v="3.33"/>
  </r>
  <r>
    <m/>
    <x v="5"/>
    <x v="4"/>
    <x v="0"/>
    <m/>
    <m/>
    <m/>
    <x v="0"/>
    <m/>
    <x v="2"/>
    <m/>
    <m/>
    <m/>
    <m/>
    <m/>
    <m/>
    <m/>
    <m/>
    <m/>
    <m/>
    <m/>
    <m/>
    <x v="2"/>
    <x v="2"/>
    <x v="0"/>
    <m/>
    <m/>
    <x v="0"/>
    <m/>
    <m/>
    <m/>
    <m/>
    <m/>
    <m/>
    <x v="0"/>
    <x v="2"/>
    <x v="1"/>
    <x v="2"/>
    <x v="2"/>
    <x v="2"/>
    <x v="1"/>
    <x v="1"/>
    <x v="1"/>
    <x v="2"/>
    <x v="1"/>
    <x v="3"/>
    <x v="2"/>
    <x v="1"/>
    <x v="2"/>
    <x v="1"/>
    <x v="2"/>
    <x v="2"/>
    <x v="2"/>
    <x v="2"/>
    <x v="2"/>
    <x v="1"/>
    <n v="3.33"/>
    <n v="10"/>
    <n v="10"/>
    <n v="10"/>
  </r>
  <r>
    <m/>
    <x v="5"/>
    <x v="4"/>
    <x v="1"/>
    <m/>
    <m/>
    <m/>
    <x v="0"/>
    <m/>
    <x v="0"/>
    <m/>
    <m/>
    <m/>
    <m/>
    <m/>
    <m/>
    <m/>
    <m/>
    <m/>
    <m/>
    <m/>
    <m/>
    <x v="0"/>
    <x v="0"/>
    <x v="0"/>
    <m/>
    <m/>
    <x v="0"/>
    <m/>
    <m/>
    <m/>
    <m/>
    <m/>
    <m/>
    <x v="0"/>
    <x v="0"/>
    <x v="1"/>
    <x v="2"/>
    <x v="2"/>
    <x v="2"/>
    <x v="1"/>
    <x v="1"/>
    <x v="1"/>
    <x v="2"/>
    <x v="1"/>
    <x v="3"/>
    <x v="2"/>
    <x v="1"/>
    <x v="2"/>
    <x v="2"/>
    <x v="4"/>
    <x v="2"/>
    <x v="2"/>
    <x v="2"/>
    <x v="2"/>
    <x v="1"/>
    <n v="6.67"/>
    <n v="10"/>
    <n v="10"/>
    <n v="6.67"/>
  </r>
  <r>
    <m/>
    <x v="5"/>
    <x v="4"/>
    <x v="1"/>
    <m/>
    <m/>
    <m/>
    <x v="0"/>
    <m/>
    <x v="0"/>
    <m/>
    <m/>
    <m/>
    <m/>
    <m/>
    <m/>
    <m/>
    <m/>
    <m/>
    <m/>
    <m/>
    <m/>
    <x v="0"/>
    <x v="0"/>
    <x v="0"/>
    <m/>
    <m/>
    <x v="0"/>
    <m/>
    <m/>
    <m/>
    <m/>
    <m/>
    <m/>
    <x v="0"/>
    <x v="0"/>
    <x v="1"/>
    <x v="2"/>
    <x v="2"/>
    <x v="2"/>
    <x v="1"/>
    <x v="1"/>
    <x v="1"/>
    <x v="2"/>
    <x v="1"/>
    <x v="3"/>
    <x v="2"/>
    <x v="1"/>
    <x v="2"/>
    <x v="1"/>
    <x v="2"/>
    <x v="2"/>
    <x v="2"/>
    <x v="2"/>
    <x v="0"/>
    <x v="1"/>
    <n v="3.33"/>
    <n v="10"/>
    <n v="6.67"/>
    <m/>
  </r>
  <r>
    <m/>
    <x v="5"/>
    <x v="1"/>
    <x v="1"/>
    <m/>
    <m/>
    <m/>
    <x v="0"/>
    <m/>
    <x v="0"/>
    <m/>
    <m/>
    <m/>
    <m/>
    <m/>
    <m/>
    <m/>
    <m/>
    <m/>
    <m/>
    <m/>
    <m/>
    <x v="2"/>
    <x v="0"/>
    <x v="0"/>
    <m/>
    <m/>
    <x v="0"/>
    <m/>
    <m/>
    <m/>
    <m/>
    <m/>
    <m/>
    <x v="0"/>
    <x v="0"/>
    <x v="2"/>
    <x v="3"/>
    <x v="2"/>
    <x v="2"/>
    <x v="3"/>
    <x v="2"/>
    <x v="1"/>
    <x v="2"/>
    <x v="1"/>
    <x v="3"/>
    <x v="2"/>
    <x v="1"/>
    <x v="2"/>
    <x v="2"/>
    <x v="2"/>
    <x v="2"/>
    <x v="2"/>
    <x v="2"/>
    <x v="2"/>
    <x v="1"/>
    <n v="10"/>
    <n v="6.67"/>
    <n v="6.67"/>
    <n v="10"/>
  </r>
  <r>
    <m/>
    <x v="5"/>
    <x v="4"/>
    <x v="0"/>
    <m/>
    <m/>
    <m/>
    <x v="0"/>
    <m/>
    <x v="5"/>
    <m/>
    <m/>
    <m/>
    <m/>
    <m/>
    <m/>
    <m/>
    <m/>
    <m/>
    <m/>
    <m/>
    <m/>
    <x v="0"/>
    <x v="0"/>
    <x v="1"/>
    <m/>
    <m/>
    <x v="0"/>
    <m/>
    <m/>
    <m/>
    <m/>
    <m/>
    <m/>
    <x v="1"/>
    <x v="2"/>
    <x v="1"/>
    <x v="2"/>
    <x v="2"/>
    <x v="2"/>
    <x v="1"/>
    <x v="1"/>
    <x v="1"/>
    <x v="2"/>
    <x v="1"/>
    <x v="3"/>
    <x v="2"/>
    <x v="1"/>
    <x v="1"/>
    <x v="2"/>
    <x v="2"/>
    <x v="2"/>
    <x v="3"/>
    <x v="2"/>
    <x v="2"/>
    <x v="1"/>
    <n v="10"/>
    <n v="10"/>
    <n v="10"/>
    <n v="10"/>
  </r>
  <r>
    <m/>
    <x v="5"/>
    <x v="1"/>
    <x v="1"/>
    <m/>
    <m/>
    <m/>
    <x v="0"/>
    <m/>
    <x v="0"/>
    <m/>
    <m/>
    <m/>
    <m/>
    <m/>
    <m/>
    <m/>
    <m/>
    <m/>
    <m/>
    <m/>
    <m/>
    <x v="0"/>
    <x v="0"/>
    <x v="0"/>
    <m/>
    <m/>
    <x v="0"/>
    <m/>
    <m/>
    <m/>
    <m/>
    <m/>
    <m/>
    <x v="0"/>
    <x v="0"/>
    <x v="1"/>
    <x v="2"/>
    <x v="2"/>
    <x v="2"/>
    <x v="1"/>
    <x v="1"/>
    <x v="1"/>
    <x v="2"/>
    <x v="1"/>
    <x v="3"/>
    <x v="2"/>
    <x v="1"/>
    <x v="2"/>
    <x v="1"/>
    <x v="2"/>
    <x v="2"/>
    <x v="2"/>
    <x v="2"/>
    <x v="2"/>
    <x v="1"/>
    <n v="10"/>
    <n v="10"/>
    <n v="10"/>
    <n v="10"/>
  </r>
  <r>
    <m/>
    <x v="5"/>
    <x v="1"/>
    <x v="1"/>
    <m/>
    <m/>
    <m/>
    <x v="0"/>
    <m/>
    <x v="0"/>
    <m/>
    <m/>
    <m/>
    <m/>
    <m/>
    <m/>
    <m/>
    <m/>
    <m/>
    <m/>
    <m/>
    <m/>
    <x v="0"/>
    <x v="0"/>
    <x v="0"/>
    <m/>
    <m/>
    <x v="0"/>
    <m/>
    <m/>
    <m/>
    <m/>
    <m/>
    <m/>
    <x v="0"/>
    <x v="0"/>
    <x v="1"/>
    <x v="2"/>
    <x v="4"/>
    <x v="2"/>
    <x v="1"/>
    <x v="1"/>
    <x v="2"/>
    <x v="2"/>
    <x v="1"/>
    <x v="3"/>
    <x v="2"/>
    <x v="1"/>
    <x v="2"/>
    <x v="2"/>
    <x v="2"/>
    <x v="2"/>
    <x v="3"/>
    <x v="2"/>
    <x v="2"/>
    <x v="5"/>
    <n v="6.67"/>
    <n v="10"/>
    <n v="3.33"/>
    <n v="10"/>
  </r>
  <r>
    <m/>
    <x v="5"/>
    <x v="4"/>
    <x v="1"/>
    <m/>
    <m/>
    <m/>
    <x v="0"/>
    <m/>
    <x v="0"/>
    <m/>
    <m/>
    <m/>
    <m/>
    <m/>
    <m/>
    <m/>
    <m/>
    <m/>
    <m/>
    <m/>
    <m/>
    <x v="0"/>
    <x v="0"/>
    <x v="0"/>
    <m/>
    <m/>
    <x v="0"/>
    <m/>
    <m/>
    <m/>
    <m/>
    <m/>
    <m/>
    <x v="0"/>
    <x v="0"/>
    <x v="1"/>
    <x v="2"/>
    <x v="2"/>
    <x v="2"/>
    <x v="1"/>
    <x v="1"/>
    <x v="1"/>
    <x v="2"/>
    <x v="1"/>
    <x v="3"/>
    <x v="2"/>
    <x v="1"/>
    <x v="2"/>
    <x v="1"/>
    <x v="2"/>
    <x v="2"/>
    <x v="3"/>
    <x v="2"/>
    <x v="2"/>
    <x v="1"/>
    <n v="10"/>
    <n v="10"/>
    <n v="6.67"/>
    <n v="10"/>
  </r>
  <r>
    <m/>
    <x v="5"/>
    <x v="4"/>
    <x v="0"/>
    <m/>
    <m/>
    <m/>
    <x v="4"/>
    <m/>
    <x v="5"/>
    <m/>
    <m/>
    <m/>
    <m/>
    <m/>
    <m/>
    <m/>
    <m/>
    <m/>
    <m/>
    <m/>
    <m/>
    <x v="7"/>
    <x v="7"/>
    <x v="7"/>
    <m/>
    <m/>
    <x v="2"/>
    <m/>
    <m/>
    <m/>
    <m/>
    <m/>
    <m/>
    <x v="5"/>
    <x v="5"/>
    <x v="0"/>
    <x v="0"/>
    <x v="0"/>
    <x v="0"/>
    <x v="0"/>
    <x v="0"/>
    <x v="0"/>
    <x v="0"/>
    <x v="0"/>
    <x v="0"/>
    <x v="0"/>
    <x v="0"/>
    <x v="0"/>
    <x v="0"/>
    <x v="0"/>
    <x v="0"/>
    <x v="0"/>
    <x v="0"/>
    <x v="0"/>
    <x v="0"/>
    <m/>
    <m/>
    <m/>
    <n v="6.67"/>
  </r>
  <r>
    <m/>
    <x v="5"/>
    <x v="4"/>
    <x v="0"/>
    <m/>
    <m/>
    <m/>
    <x v="0"/>
    <m/>
    <x v="5"/>
    <m/>
    <m/>
    <m/>
    <m/>
    <m/>
    <m/>
    <m/>
    <m/>
    <m/>
    <m/>
    <m/>
    <m/>
    <x v="0"/>
    <x v="0"/>
    <x v="0"/>
    <m/>
    <m/>
    <x v="2"/>
    <m/>
    <m/>
    <m/>
    <m/>
    <m/>
    <m/>
    <x v="0"/>
    <x v="5"/>
    <x v="1"/>
    <x v="2"/>
    <x v="2"/>
    <x v="0"/>
    <x v="1"/>
    <x v="1"/>
    <x v="1"/>
    <x v="0"/>
    <x v="1"/>
    <x v="3"/>
    <x v="2"/>
    <x v="1"/>
    <x v="2"/>
    <x v="0"/>
    <x v="0"/>
    <x v="0"/>
    <x v="2"/>
    <x v="0"/>
    <x v="0"/>
    <x v="1"/>
    <n v="10"/>
    <m/>
    <n v="3.33"/>
    <m/>
  </r>
  <r>
    <m/>
    <x v="5"/>
    <x v="4"/>
    <x v="1"/>
    <m/>
    <m/>
    <m/>
    <x v="0"/>
    <m/>
    <x v="0"/>
    <m/>
    <m/>
    <m/>
    <m/>
    <m/>
    <m/>
    <m/>
    <m/>
    <m/>
    <m/>
    <m/>
    <m/>
    <x v="4"/>
    <x v="1"/>
    <x v="0"/>
    <m/>
    <m/>
    <x v="5"/>
    <m/>
    <m/>
    <m/>
    <m/>
    <m/>
    <m/>
    <x v="0"/>
    <x v="0"/>
    <x v="1"/>
    <x v="2"/>
    <x v="2"/>
    <x v="2"/>
    <x v="1"/>
    <x v="1"/>
    <x v="1"/>
    <x v="2"/>
    <x v="2"/>
    <x v="3"/>
    <x v="2"/>
    <x v="1"/>
    <x v="2"/>
    <x v="2"/>
    <x v="2"/>
    <x v="2"/>
    <x v="2"/>
    <x v="4"/>
    <x v="5"/>
    <x v="3"/>
    <n v="10"/>
    <m/>
    <n v="3.33"/>
    <m/>
  </r>
  <r>
    <m/>
    <x v="5"/>
    <x v="4"/>
    <x v="0"/>
    <m/>
    <m/>
    <m/>
    <x v="0"/>
    <m/>
    <x v="0"/>
    <m/>
    <m/>
    <m/>
    <m/>
    <m/>
    <m/>
    <m/>
    <m/>
    <m/>
    <m/>
    <m/>
    <m/>
    <x v="0"/>
    <x v="1"/>
    <x v="1"/>
    <m/>
    <m/>
    <x v="0"/>
    <m/>
    <m/>
    <m/>
    <m/>
    <m/>
    <m/>
    <x v="1"/>
    <x v="4"/>
    <x v="2"/>
    <x v="3"/>
    <x v="4"/>
    <x v="3"/>
    <x v="3"/>
    <x v="2"/>
    <x v="2"/>
    <x v="3"/>
    <x v="5"/>
    <x v="2"/>
    <x v="1"/>
    <x v="2"/>
    <x v="3"/>
    <x v="1"/>
    <x v="4"/>
    <x v="5"/>
    <x v="2"/>
    <x v="2"/>
    <x v="4"/>
    <x v="3"/>
    <n v="3.33"/>
    <n v="6.67"/>
    <n v="1"/>
    <m/>
  </r>
  <r>
    <m/>
    <x v="5"/>
    <x v="4"/>
    <x v="0"/>
    <m/>
    <m/>
    <m/>
    <x v="0"/>
    <m/>
    <x v="0"/>
    <m/>
    <m/>
    <m/>
    <m/>
    <m/>
    <m/>
    <m/>
    <m/>
    <m/>
    <m/>
    <m/>
    <m/>
    <x v="0"/>
    <x v="0"/>
    <x v="0"/>
    <m/>
    <m/>
    <x v="0"/>
    <m/>
    <m/>
    <m/>
    <m/>
    <m/>
    <m/>
    <x v="0"/>
    <x v="0"/>
    <x v="1"/>
    <x v="2"/>
    <x v="2"/>
    <x v="2"/>
    <x v="1"/>
    <x v="1"/>
    <x v="1"/>
    <x v="2"/>
    <x v="1"/>
    <x v="3"/>
    <x v="2"/>
    <x v="1"/>
    <x v="2"/>
    <x v="1"/>
    <x v="2"/>
    <x v="2"/>
    <x v="2"/>
    <x v="2"/>
    <x v="2"/>
    <x v="1"/>
    <n v="10"/>
    <n v="10"/>
    <n v="10"/>
    <n v="10"/>
  </r>
  <r>
    <m/>
    <x v="5"/>
    <x v="4"/>
    <x v="1"/>
    <m/>
    <m/>
    <m/>
    <x v="0"/>
    <m/>
    <x v="5"/>
    <m/>
    <m/>
    <m/>
    <m/>
    <m/>
    <m/>
    <m/>
    <m/>
    <m/>
    <m/>
    <m/>
    <m/>
    <x v="0"/>
    <x v="0"/>
    <x v="0"/>
    <m/>
    <m/>
    <x v="2"/>
    <m/>
    <m/>
    <m/>
    <m/>
    <m/>
    <m/>
    <x v="0"/>
    <x v="5"/>
    <x v="1"/>
    <x v="2"/>
    <x v="2"/>
    <x v="0"/>
    <x v="1"/>
    <x v="1"/>
    <x v="1"/>
    <x v="0"/>
    <x v="0"/>
    <x v="3"/>
    <x v="2"/>
    <x v="0"/>
    <x v="2"/>
    <x v="2"/>
    <x v="4"/>
    <x v="2"/>
    <x v="2"/>
    <x v="2"/>
    <x v="2"/>
    <x v="1"/>
    <m/>
    <m/>
    <n v="6.67"/>
    <n v="10"/>
  </r>
  <r>
    <m/>
    <x v="5"/>
    <x v="4"/>
    <x v="1"/>
    <m/>
    <m/>
    <m/>
    <x v="0"/>
    <m/>
    <x v="0"/>
    <m/>
    <m/>
    <m/>
    <m/>
    <m/>
    <m/>
    <m/>
    <m/>
    <m/>
    <m/>
    <m/>
    <m/>
    <x v="0"/>
    <x v="0"/>
    <x v="0"/>
    <m/>
    <m/>
    <x v="0"/>
    <m/>
    <m/>
    <m/>
    <m/>
    <m/>
    <m/>
    <x v="0"/>
    <x v="0"/>
    <x v="1"/>
    <x v="2"/>
    <x v="2"/>
    <x v="2"/>
    <x v="1"/>
    <x v="1"/>
    <x v="1"/>
    <x v="2"/>
    <x v="1"/>
    <x v="3"/>
    <x v="2"/>
    <x v="1"/>
    <x v="2"/>
    <x v="2"/>
    <x v="0"/>
    <x v="2"/>
    <x v="3"/>
    <x v="2"/>
    <x v="2"/>
    <x v="1"/>
    <n v="10"/>
    <n v="10"/>
    <n v="10"/>
    <m/>
  </r>
  <r>
    <m/>
    <x v="5"/>
    <x v="3"/>
    <x v="1"/>
    <m/>
    <m/>
    <m/>
    <x v="0"/>
    <m/>
    <x v="2"/>
    <m/>
    <m/>
    <m/>
    <m/>
    <m/>
    <m/>
    <m/>
    <m/>
    <m/>
    <m/>
    <m/>
    <m/>
    <x v="0"/>
    <x v="0"/>
    <x v="0"/>
    <m/>
    <m/>
    <x v="0"/>
    <m/>
    <m/>
    <m/>
    <m/>
    <m/>
    <m/>
    <x v="0"/>
    <x v="0"/>
    <x v="1"/>
    <x v="2"/>
    <x v="2"/>
    <x v="2"/>
    <x v="1"/>
    <x v="1"/>
    <x v="1"/>
    <x v="2"/>
    <x v="1"/>
    <x v="3"/>
    <x v="2"/>
    <x v="1"/>
    <x v="2"/>
    <x v="1"/>
    <x v="2"/>
    <x v="2"/>
    <x v="3"/>
    <x v="2"/>
    <x v="5"/>
    <x v="1"/>
    <n v="10"/>
    <n v="10"/>
    <n v="0"/>
    <n v="10"/>
  </r>
  <r>
    <m/>
    <x v="5"/>
    <x v="4"/>
    <x v="0"/>
    <m/>
    <m/>
    <m/>
    <x v="0"/>
    <m/>
    <x v="0"/>
    <m/>
    <m/>
    <m/>
    <m/>
    <m/>
    <m/>
    <m/>
    <m/>
    <m/>
    <m/>
    <m/>
    <m/>
    <x v="0"/>
    <x v="0"/>
    <x v="0"/>
    <m/>
    <m/>
    <x v="0"/>
    <m/>
    <m/>
    <m/>
    <m/>
    <m/>
    <m/>
    <x v="0"/>
    <x v="0"/>
    <x v="1"/>
    <x v="2"/>
    <x v="2"/>
    <x v="2"/>
    <x v="1"/>
    <x v="1"/>
    <x v="1"/>
    <x v="2"/>
    <x v="1"/>
    <x v="3"/>
    <x v="2"/>
    <x v="1"/>
    <x v="2"/>
    <x v="1"/>
    <x v="2"/>
    <x v="2"/>
    <x v="2"/>
    <x v="2"/>
    <x v="2"/>
    <x v="1"/>
    <n v="10"/>
    <n v="10"/>
    <n v="10"/>
    <n v="10"/>
  </r>
  <r>
    <m/>
    <x v="5"/>
    <x v="4"/>
    <x v="1"/>
    <m/>
    <m/>
    <m/>
    <x v="0"/>
    <m/>
    <x v="0"/>
    <m/>
    <m/>
    <m/>
    <m/>
    <m/>
    <m/>
    <m/>
    <m/>
    <m/>
    <m/>
    <m/>
    <m/>
    <x v="0"/>
    <x v="0"/>
    <x v="0"/>
    <m/>
    <m/>
    <x v="0"/>
    <m/>
    <m/>
    <m/>
    <m/>
    <m/>
    <m/>
    <x v="0"/>
    <x v="0"/>
    <x v="1"/>
    <x v="2"/>
    <x v="2"/>
    <x v="2"/>
    <x v="1"/>
    <x v="1"/>
    <x v="1"/>
    <x v="2"/>
    <x v="1"/>
    <x v="3"/>
    <x v="2"/>
    <x v="1"/>
    <x v="2"/>
    <x v="1"/>
    <x v="2"/>
    <x v="2"/>
    <x v="2"/>
    <x v="2"/>
    <x v="2"/>
    <x v="1"/>
    <n v="10"/>
    <n v="10"/>
    <n v="10"/>
    <n v="10"/>
  </r>
  <r>
    <m/>
    <x v="5"/>
    <x v="4"/>
    <x v="1"/>
    <m/>
    <m/>
    <m/>
    <x v="0"/>
    <m/>
    <x v="0"/>
    <m/>
    <m/>
    <m/>
    <m/>
    <m/>
    <m/>
    <m/>
    <m/>
    <m/>
    <m/>
    <m/>
    <m/>
    <x v="5"/>
    <x v="2"/>
    <x v="0"/>
    <m/>
    <m/>
    <x v="1"/>
    <m/>
    <m/>
    <m/>
    <m/>
    <m/>
    <m/>
    <x v="0"/>
    <x v="0"/>
    <x v="1"/>
    <x v="2"/>
    <x v="2"/>
    <x v="2"/>
    <x v="1"/>
    <x v="1"/>
    <x v="1"/>
    <x v="2"/>
    <x v="1"/>
    <x v="3"/>
    <x v="2"/>
    <x v="1"/>
    <x v="2"/>
    <x v="1"/>
    <x v="2"/>
    <x v="2"/>
    <x v="3"/>
    <x v="2"/>
    <x v="0"/>
    <x v="0"/>
    <n v="10"/>
    <n v="10"/>
    <n v="6.67"/>
    <n v="10"/>
  </r>
  <r>
    <m/>
    <x v="5"/>
    <x v="4"/>
    <x v="1"/>
    <m/>
    <m/>
    <m/>
    <x v="0"/>
    <m/>
    <x v="0"/>
    <m/>
    <m/>
    <m/>
    <m/>
    <m/>
    <m/>
    <m/>
    <m/>
    <m/>
    <m/>
    <m/>
    <m/>
    <x v="0"/>
    <x v="0"/>
    <x v="0"/>
    <m/>
    <m/>
    <x v="0"/>
    <m/>
    <m/>
    <m/>
    <m/>
    <m/>
    <m/>
    <x v="0"/>
    <x v="0"/>
    <x v="1"/>
    <x v="2"/>
    <x v="2"/>
    <x v="2"/>
    <x v="1"/>
    <x v="1"/>
    <x v="1"/>
    <x v="2"/>
    <x v="1"/>
    <x v="3"/>
    <x v="2"/>
    <x v="1"/>
    <x v="2"/>
    <x v="1"/>
    <x v="2"/>
    <x v="2"/>
    <x v="2"/>
    <x v="2"/>
    <x v="2"/>
    <x v="1"/>
    <n v="10"/>
    <n v="10"/>
    <n v="10"/>
    <n v="6.67"/>
  </r>
  <r>
    <m/>
    <x v="5"/>
    <x v="4"/>
    <x v="1"/>
    <m/>
    <m/>
    <m/>
    <x v="0"/>
    <m/>
    <x v="0"/>
    <m/>
    <m/>
    <m/>
    <m/>
    <m/>
    <m/>
    <m/>
    <m/>
    <m/>
    <m/>
    <m/>
    <m/>
    <x v="0"/>
    <x v="0"/>
    <x v="0"/>
    <m/>
    <m/>
    <x v="1"/>
    <m/>
    <m/>
    <m/>
    <m/>
    <m/>
    <m/>
    <x v="0"/>
    <x v="0"/>
    <x v="1"/>
    <x v="2"/>
    <x v="2"/>
    <x v="2"/>
    <x v="1"/>
    <x v="1"/>
    <x v="1"/>
    <x v="2"/>
    <x v="1"/>
    <x v="2"/>
    <x v="2"/>
    <x v="1"/>
    <x v="2"/>
    <x v="2"/>
    <x v="2"/>
    <x v="2"/>
    <x v="2"/>
    <x v="2"/>
    <x v="2"/>
    <x v="1"/>
    <m/>
    <n v="10"/>
    <n v="10"/>
    <n v="10"/>
  </r>
  <r>
    <m/>
    <x v="5"/>
    <x v="4"/>
    <x v="1"/>
    <m/>
    <m/>
    <m/>
    <x v="0"/>
    <m/>
    <x v="4"/>
    <m/>
    <m/>
    <m/>
    <m/>
    <m/>
    <m/>
    <m/>
    <m/>
    <m/>
    <m/>
    <m/>
    <m/>
    <x v="0"/>
    <x v="0"/>
    <x v="1"/>
    <m/>
    <m/>
    <x v="0"/>
    <m/>
    <m/>
    <m/>
    <m/>
    <m/>
    <m/>
    <x v="4"/>
    <x v="2"/>
    <x v="1"/>
    <x v="2"/>
    <x v="2"/>
    <x v="2"/>
    <x v="1"/>
    <x v="1"/>
    <x v="1"/>
    <x v="2"/>
    <x v="1"/>
    <x v="3"/>
    <x v="2"/>
    <x v="1"/>
    <x v="2"/>
    <x v="1"/>
    <x v="1"/>
    <x v="2"/>
    <x v="2"/>
    <x v="2"/>
    <x v="2"/>
    <x v="1"/>
    <m/>
    <m/>
    <n v="10"/>
    <n v="6.67"/>
  </r>
  <r>
    <m/>
    <x v="5"/>
    <x v="4"/>
    <x v="1"/>
    <m/>
    <m/>
    <m/>
    <x v="0"/>
    <m/>
    <x v="1"/>
    <m/>
    <m/>
    <m/>
    <m/>
    <m/>
    <m/>
    <m/>
    <m/>
    <m/>
    <m/>
    <m/>
    <m/>
    <x v="0"/>
    <x v="0"/>
    <x v="1"/>
    <m/>
    <m/>
    <x v="0"/>
    <m/>
    <m/>
    <m/>
    <m/>
    <m/>
    <m/>
    <x v="0"/>
    <x v="0"/>
    <x v="1"/>
    <x v="2"/>
    <x v="2"/>
    <x v="2"/>
    <x v="1"/>
    <x v="1"/>
    <x v="1"/>
    <x v="2"/>
    <x v="1"/>
    <x v="3"/>
    <x v="2"/>
    <x v="1"/>
    <x v="2"/>
    <x v="1"/>
    <x v="2"/>
    <x v="2"/>
    <x v="2"/>
    <x v="2"/>
    <x v="2"/>
    <x v="3"/>
    <m/>
    <m/>
    <n v="6.67"/>
    <n v="10"/>
  </r>
  <r>
    <m/>
    <x v="5"/>
    <x v="4"/>
    <x v="1"/>
    <m/>
    <m/>
    <m/>
    <x v="4"/>
    <m/>
    <x v="0"/>
    <m/>
    <m/>
    <m/>
    <m/>
    <m/>
    <m/>
    <m/>
    <m/>
    <m/>
    <m/>
    <m/>
    <m/>
    <x v="0"/>
    <x v="0"/>
    <x v="0"/>
    <m/>
    <m/>
    <x v="2"/>
    <m/>
    <m/>
    <m/>
    <m/>
    <m/>
    <m/>
    <x v="0"/>
    <x v="0"/>
    <x v="2"/>
    <x v="3"/>
    <x v="0"/>
    <x v="2"/>
    <x v="3"/>
    <x v="2"/>
    <x v="0"/>
    <x v="2"/>
    <x v="1"/>
    <x v="3"/>
    <x v="2"/>
    <x v="1"/>
    <x v="2"/>
    <x v="1"/>
    <x v="2"/>
    <x v="2"/>
    <x v="2"/>
    <x v="5"/>
    <x v="3"/>
    <x v="1"/>
    <n v="6.67"/>
    <m/>
    <m/>
    <n v="10"/>
  </r>
  <r>
    <m/>
    <x v="5"/>
    <x v="4"/>
    <x v="1"/>
    <m/>
    <m/>
    <m/>
    <x v="0"/>
    <m/>
    <x v="0"/>
    <m/>
    <m/>
    <m/>
    <m/>
    <m/>
    <m/>
    <m/>
    <m/>
    <m/>
    <m/>
    <m/>
    <m/>
    <x v="0"/>
    <x v="0"/>
    <x v="0"/>
    <m/>
    <m/>
    <x v="0"/>
    <m/>
    <m/>
    <m/>
    <m/>
    <m/>
    <m/>
    <x v="0"/>
    <x v="0"/>
    <x v="1"/>
    <x v="2"/>
    <x v="2"/>
    <x v="2"/>
    <x v="1"/>
    <x v="1"/>
    <x v="1"/>
    <x v="2"/>
    <x v="1"/>
    <x v="3"/>
    <x v="2"/>
    <x v="1"/>
    <x v="2"/>
    <x v="1"/>
    <x v="2"/>
    <x v="2"/>
    <x v="2"/>
    <x v="2"/>
    <x v="3"/>
    <x v="3"/>
    <m/>
    <m/>
    <n v="10"/>
    <n v="10"/>
  </r>
  <r>
    <m/>
    <x v="5"/>
    <x v="4"/>
    <x v="1"/>
    <m/>
    <m/>
    <m/>
    <x v="6"/>
    <m/>
    <x v="4"/>
    <m/>
    <m/>
    <m/>
    <m/>
    <m/>
    <m/>
    <m/>
    <m/>
    <m/>
    <m/>
    <m/>
    <m/>
    <x v="0"/>
    <x v="0"/>
    <x v="0"/>
    <m/>
    <m/>
    <x v="0"/>
    <m/>
    <m/>
    <m/>
    <m/>
    <m/>
    <m/>
    <x v="4"/>
    <x v="1"/>
    <x v="3"/>
    <x v="4"/>
    <x v="5"/>
    <x v="5"/>
    <x v="2"/>
    <x v="5"/>
    <x v="3"/>
    <x v="5"/>
    <x v="3"/>
    <x v="3"/>
    <x v="2"/>
    <x v="1"/>
    <x v="7"/>
    <x v="2"/>
    <x v="7"/>
    <x v="2"/>
    <x v="2"/>
    <x v="4"/>
    <x v="4"/>
    <x v="5"/>
    <m/>
    <m/>
    <n v="10"/>
    <m/>
  </r>
  <r>
    <m/>
    <x v="5"/>
    <x v="4"/>
    <x v="0"/>
    <m/>
    <m/>
    <m/>
    <x v="0"/>
    <m/>
    <x v="0"/>
    <m/>
    <m/>
    <m/>
    <m/>
    <m/>
    <m/>
    <m/>
    <m/>
    <m/>
    <m/>
    <m/>
    <m/>
    <x v="5"/>
    <x v="2"/>
    <x v="0"/>
    <m/>
    <m/>
    <x v="2"/>
    <m/>
    <m/>
    <m/>
    <m/>
    <m/>
    <m/>
    <x v="0"/>
    <x v="0"/>
    <x v="1"/>
    <x v="2"/>
    <x v="2"/>
    <x v="2"/>
    <x v="1"/>
    <x v="1"/>
    <x v="1"/>
    <x v="2"/>
    <x v="1"/>
    <x v="3"/>
    <x v="2"/>
    <x v="1"/>
    <x v="2"/>
    <x v="1"/>
    <x v="2"/>
    <x v="2"/>
    <x v="2"/>
    <x v="2"/>
    <x v="2"/>
    <x v="1"/>
    <n v="6.67"/>
    <m/>
    <n v="3.33"/>
    <n v="10"/>
  </r>
  <r>
    <m/>
    <x v="5"/>
    <x v="3"/>
    <x v="0"/>
    <m/>
    <m/>
    <m/>
    <x v="0"/>
    <m/>
    <x v="0"/>
    <m/>
    <m/>
    <m/>
    <m/>
    <m/>
    <m/>
    <m/>
    <m/>
    <m/>
    <m/>
    <m/>
    <m/>
    <x v="0"/>
    <x v="0"/>
    <x v="0"/>
    <m/>
    <m/>
    <x v="0"/>
    <m/>
    <m/>
    <m/>
    <m/>
    <m/>
    <m/>
    <x v="0"/>
    <x v="0"/>
    <x v="1"/>
    <x v="2"/>
    <x v="4"/>
    <x v="2"/>
    <x v="1"/>
    <x v="1"/>
    <x v="2"/>
    <x v="2"/>
    <x v="1"/>
    <x v="3"/>
    <x v="2"/>
    <x v="1"/>
    <x v="2"/>
    <x v="1"/>
    <x v="2"/>
    <x v="2"/>
    <x v="2"/>
    <x v="2"/>
    <x v="3"/>
    <x v="1"/>
    <n v="6.67"/>
    <n v="10"/>
    <n v="10"/>
    <n v="10"/>
  </r>
  <r>
    <m/>
    <x v="5"/>
    <x v="3"/>
    <x v="0"/>
    <m/>
    <m/>
    <m/>
    <x v="0"/>
    <m/>
    <x v="1"/>
    <m/>
    <m/>
    <m/>
    <m/>
    <m/>
    <m/>
    <m/>
    <m/>
    <m/>
    <m/>
    <m/>
    <m/>
    <x v="0"/>
    <x v="0"/>
    <x v="0"/>
    <m/>
    <m/>
    <x v="0"/>
    <m/>
    <m/>
    <m/>
    <m/>
    <m/>
    <m/>
    <x v="0"/>
    <x v="0"/>
    <x v="1"/>
    <x v="2"/>
    <x v="2"/>
    <x v="2"/>
    <x v="1"/>
    <x v="1"/>
    <x v="1"/>
    <x v="2"/>
    <x v="1"/>
    <x v="3"/>
    <x v="2"/>
    <x v="1"/>
    <x v="2"/>
    <x v="1"/>
    <x v="2"/>
    <x v="2"/>
    <x v="2"/>
    <x v="2"/>
    <x v="2"/>
    <x v="1"/>
    <n v="10"/>
    <n v="10"/>
    <n v="10"/>
    <n v="6.67"/>
  </r>
  <r>
    <m/>
    <x v="5"/>
    <x v="3"/>
    <x v="0"/>
    <m/>
    <m/>
    <m/>
    <x v="0"/>
    <m/>
    <x v="0"/>
    <m/>
    <m/>
    <m/>
    <m/>
    <m/>
    <m/>
    <m/>
    <m/>
    <m/>
    <m/>
    <m/>
    <m/>
    <x v="0"/>
    <x v="0"/>
    <x v="0"/>
    <m/>
    <m/>
    <x v="0"/>
    <m/>
    <m/>
    <m/>
    <m/>
    <m/>
    <m/>
    <x v="0"/>
    <x v="0"/>
    <x v="1"/>
    <x v="2"/>
    <x v="2"/>
    <x v="2"/>
    <x v="1"/>
    <x v="1"/>
    <x v="1"/>
    <x v="2"/>
    <x v="1"/>
    <x v="3"/>
    <x v="2"/>
    <x v="1"/>
    <x v="2"/>
    <x v="1"/>
    <x v="2"/>
    <x v="2"/>
    <x v="3"/>
    <x v="2"/>
    <x v="2"/>
    <x v="1"/>
    <n v="6.67"/>
    <n v="10"/>
    <n v="6.6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1F000000}" name="Pivottabell13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20:F22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0"/>
        <item x="1"/>
        <item x="2"/>
        <item x="3"/>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5"/>
  </rowFields>
  <rowItems count="7">
    <i>
      <x/>
    </i>
    <i>
      <x v="1"/>
    </i>
    <i>
      <x v="2"/>
    </i>
    <i>
      <x v="3"/>
    </i>
    <i>
      <x v="4"/>
    </i>
    <i>
      <x v="5"/>
    </i>
    <i t="grand">
      <x/>
    </i>
  </rowItems>
  <colFields count="1">
    <field x="1"/>
  </colFields>
  <colItems count="5">
    <i>
      <x v="2"/>
    </i>
    <i>
      <x v="3"/>
    </i>
    <i>
      <x v="4"/>
    </i>
    <i>
      <x v="5"/>
    </i>
    <i>
      <x v="6"/>
    </i>
  </colItems>
  <dataFields count="1">
    <dataField name="Antal av Jag får vara med och välja vad vi ska göra på lektionerna2"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800-00000C000000}" name="Pivottabell115"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153:N161"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4"/>
        <item x="3"/>
        <item x="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9"/>
  </rowFields>
  <rowItems count="7">
    <i>
      <x/>
    </i>
    <i>
      <x v="1"/>
    </i>
    <i>
      <x v="2"/>
    </i>
    <i>
      <x v="3"/>
    </i>
    <i>
      <x v="4"/>
    </i>
    <i>
      <x v="5"/>
    </i>
    <i t="grand">
      <x/>
    </i>
  </rowItems>
  <colFields count="1">
    <field x="1"/>
  </colFields>
  <colItems count="5">
    <i>
      <x v="2"/>
    </i>
    <i>
      <x v="3"/>
    </i>
    <i>
      <x v="4"/>
    </i>
    <i>
      <x v="5"/>
    </i>
    <i>
      <x v="6"/>
    </i>
  </colItems>
  <dataFields count="1">
    <dataField name="Antal av Jag får lära mig på olika sätt exempelvis läsa, lyssna, se film, skriva" fld="39" subtotal="count" showDataAs="percentOfCol" baseField="0" baseItem="0" numFmtId="10"/>
  </dataFields>
  <formats count="2">
    <format dxfId="129">
      <pivotArea collapsedLevelsAreSubtotals="1" fieldPosition="0">
        <references count="1">
          <reference field="39" count="0"/>
        </references>
      </pivotArea>
    </format>
    <format dxfId="128">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AF4F7A09-7CBC-402E-9092-3DF1E03C387E}" name="Pivottabell18"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77:O8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5"/>
        <item x="1"/>
        <item x="0"/>
        <item x="3"/>
        <item x="2"/>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9">
    <i>
      <x/>
    </i>
    <i>
      <x v="1"/>
    </i>
    <i>
      <x v="2"/>
    </i>
    <i>
      <x v="3"/>
    </i>
    <i>
      <x v="4"/>
    </i>
    <i>
      <x v="5"/>
    </i>
    <i>
      <x v="6"/>
    </i>
    <i>
      <x v="7"/>
    </i>
    <i t="grand">
      <x/>
    </i>
  </rowItems>
  <colFields count="1">
    <field x="1"/>
  </colFields>
  <colItems count="6">
    <i>
      <x/>
    </i>
    <i>
      <x v="1"/>
    </i>
    <i>
      <x v="2"/>
    </i>
    <i>
      <x v="3"/>
    </i>
    <i>
      <x v="4"/>
    </i>
    <i>
      <x v="5"/>
    </i>
  </colItems>
  <dataFields count="1">
    <dataField name="Antal av F27" fld="2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6557518F-9512-45F7-A1A2-EAC837F97F53}" name="Pivottabell3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37:O146"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3"/>
        <item x="4"/>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8">
    <i>
      <x/>
    </i>
    <i>
      <x v="1"/>
    </i>
    <i>
      <x v="2"/>
    </i>
    <i>
      <x v="3"/>
    </i>
    <i>
      <x v="4"/>
    </i>
    <i>
      <x v="5"/>
    </i>
    <i>
      <x v="6"/>
    </i>
    <i t="grand">
      <x/>
    </i>
  </rowItems>
  <colFields count="1">
    <field x="1"/>
  </colFields>
  <colItems count="6">
    <i>
      <x/>
    </i>
    <i>
      <x v="1"/>
    </i>
    <i>
      <x v="2"/>
    </i>
    <i>
      <x v="3"/>
    </i>
    <i>
      <x v="4"/>
    </i>
    <i>
      <x v="5"/>
    </i>
  </colItems>
  <dataFields count="1">
    <dataField name="Antal av Jag känner att jag lyckas i skolan" fld="3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B2BF6D69-6234-4734-A50F-9DD2E453A1DB}" name="Pivottabell1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53:W63"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5"/>
        <item x="1"/>
        <item x="0"/>
        <item x="3"/>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Fields count="1">
    <field x="1"/>
  </colFields>
  <colItems count="6">
    <i>
      <x/>
    </i>
    <i>
      <x v="1"/>
    </i>
    <i>
      <x v="2"/>
    </i>
    <i>
      <x v="3"/>
    </i>
    <i>
      <x v="4"/>
    </i>
    <i>
      <x v="5"/>
    </i>
  </colItems>
  <dataFields count="1">
    <dataField name="Medel av F23" fld="2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E886BEC9-8ABA-480C-9651-76652634FBF9}" name="Pivottabell5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33:G24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1"/>
        <item x="2"/>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8">
    <i>
      <x/>
    </i>
    <i>
      <x v="1"/>
    </i>
    <i>
      <x v="2"/>
    </i>
    <i>
      <x v="3"/>
    </i>
    <i>
      <x v="4"/>
    </i>
    <i>
      <x v="5"/>
    </i>
    <i>
      <x v="6"/>
    </i>
    <i t="grand">
      <x/>
    </i>
  </rowItems>
  <colFields count="1">
    <field x="1"/>
  </colFields>
  <colItems count="6">
    <i>
      <x/>
    </i>
    <i>
      <x v="1"/>
    </i>
    <i>
      <x v="2"/>
    </i>
    <i>
      <x v="3"/>
    </i>
    <i>
      <x v="4"/>
    </i>
    <i>
      <x v="5"/>
    </i>
  </colItems>
  <dataFields count="1">
    <dataField name="Antal av I min skola är eleverna med och bestämmer trivselregler" fld="46" subtotal="count" baseField="0" baseItem="0"/>
  </dataFields>
  <formats count="4">
    <format dxfId="3">
      <pivotArea type="origin" dataOnly="0" labelOnly="1" outline="0" fieldPosition="0"/>
    </format>
    <format dxfId="2">
      <pivotArea field="46" type="button" dataOnly="0" labelOnly="1" outline="0" axis="axisRow" fieldPosition="0"/>
    </format>
    <format dxfId="1">
      <pivotArea dataOnly="0" labelOnly="1" fieldPosition="0">
        <references count="1">
          <reference field="46"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FABF044D-60AB-4109-B388-F3D4CDEF0CFA}" name="Pivottabell5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33:O24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1"/>
        <item x="2"/>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8">
    <i>
      <x/>
    </i>
    <i>
      <x v="1"/>
    </i>
    <i>
      <x v="2"/>
    </i>
    <i>
      <x v="3"/>
    </i>
    <i>
      <x v="4"/>
    </i>
    <i>
      <x v="5"/>
    </i>
    <i>
      <x v="6"/>
    </i>
    <i t="grand">
      <x/>
    </i>
  </rowItems>
  <colFields count="1">
    <field x="1"/>
  </colFields>
  <colItems count="6">
    <i>
      <x/>
    </i>
    <i>
      <x v="1"/>
    </i>
    <i>
      <x v="2"/>
    </i>
    <i>
      <x v="3"/>
    </i>
    <i>
      <x v="4"/>
    </i>
    <i>
      <x v="5"/>
    </i>
  </colItems>
  <dataFields count="1">
    <dataField name="Antal av I min skola är eleverna med och bestämmer trivselregler" fld="4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CDB68246-7127-45A2-AC0C-08E6127D6E83}" name="Pivottabell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7:W26"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axis="axisRow" dataField="1" showAll="0">
      <items count="8">
        <item x="2"/>
        <item x="1"/>
        <item x="0"/>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8">
    <i>
      <x/>
    </i>
    <i>
      <x v="1"/>
    </i>
    <i>
      <x v="2"/>
    </i>
    <i>
      <x v="3"/>
    </i>
    <i>
      <x v="4"/>
    </i>
    <i>
      <x v="5"/>
    </i>
    <i>
      <x v="6"/>
    </i>
    <i t="grand">
      <x/>
    </i>
  </rowItems>
  <colFields count="1">
    <field x="1"/>
  </colFields>
  <colItems count="6">
    <i>
      <x/>
    </i>
    <i>
      <x v="1"/>
    </i>
    <i>
      <x v="2"/>
    </i>
    <i>
      <x v="3"/>
    </i>
    <i>
      <x v="4"/>
    </i>
    <i>
      <x v="5"/>
    </i>
  </colItems>
  <dataFields count="1">
    <dataField name="Medel av F7" fld="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C5699029-B787-4037-99FD-455CF817CA30}" name="Pivottabell31"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25:W13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8">
    <i>
      <x/>
    </i>
    <i>
      <x v="1"/>
    </i>
    <i>
      <x v="2"/>
    </i>
    <i>
      <x v="3"/>
    </i>
    <i>
      <x v="4"/>
    </i>
    <i>
      <x v="5"/>
    </i>
    <i>
      <x v="6"/>
    </i>
    <i t="grand">
      <x/>
    </i>
  </rowItems>
  <colFields count="1">
    <field x="1"/>
  </colFields>
  <colItems count="6">
    <i>
      <x/>
    </i>
    <i>
      <x v="1"/>
    </i>
    <i>
      <x v="2"/>
    </i>
    <i>
      <x v="3"/>
    </i>
    <i>
      <x v="4"/>
    </i>
    <i>
      <x v="5"/>
    </i>
  </colItems>
  <dataFields count="1">
    <dataField name="Medel av När jag vill lära mig mer får jag nya uppgifter" fld="3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78D94FEF-A352-4770-8009-FB775CA9EFBA}" name="Pivottabell11"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53:G63"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5"/>
        <item x="1"/>
        <item x="0"/>
        <item x="3"/>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Fields count="1">
    <field x="1"/>
  </colFields>
  <colItems count="6">
    <i>
      <x/>
    </i>
    <i>
      <x v="1"/>
    </i>
    <i>
      <x v="2"/>
    </i>
    <i>
      <x v="3"/>
    </i>
    <i>
      <x v="4"/>
    </i>
    <i>
      <x v="5"/>
    </i>
  </colItems>
  <dataFields count="1">
    <dataField name="Antal av F23" fld="23" subtotal="count" baseField="0" baseItem="0"/>
  </dataFields>
  <formats count="4">
    <format dxfId="7">
      <pivotArea type="origin" dataOnly="0" labelOnly="1" outline="0" fieldPosition="0"/>
    </format>
    <format dxfId="6">
      <pivotArea field="23" type="button" dataOnly="0" labelOnly="1" outline="0" axis="axisRow" fieldPosition="0"/>
    </format>
    <format dxfId="5">
      <pivotArea dataOnly="0" labelOnly="1" fieldPosition="0">
        <references count="1">
          <reference field="23"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1A2F06D9-9C5C-48EC-A538-80936EA7F324}" name="Pivottabell51"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09:O21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2"/>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8">
    <i>
      <x/>
    </i>
    <i>
      <x v="1"/>
    </i>
    <i>
      <x v="2"/>
    </i>
    <i>
      <x v="3"/>
    </i>
    <i>
      <x v="4"/>
    </i>
    <i>
      <x v="5"/>
    </i>
    <i>
      <x v="6"/>
    </i>
    <i t="grand">
      <x/>
    </i>
  </rowItems>
  <colFields count="1">
    <field x="1"/>
  </colFields>
  <colItems count="6">
    <i>
      <x/>
    </i>
    <i>
      <x v="1"/>
    </i>
    <i>
      <x v="2"/>
    </i>
    <i>
      <x v="3"/>
    </i>
    <i>
      <x v="4"/>
    </i>
    <i>
      <x v="5"/>
    </i>
  </colItems>
  <dataFields count="1">
    <dataField name="Antal av I min skola är vi snälla och lyssnar på varandra" fld="4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579A2C8A-A816-42D4-9542-3464546471D4}" name="Pivottabell8"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41:G51"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2"/>
        <item x="3"/>
        <item x="0"/>
        <item x="1"/>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Fields count="1">
    <field x="1"/>
  </colFields>
  <colItems count="6">
    <i>
      <x/>
    </i>
    <i>
      <x v="1"/>
    </i>
    <i>
      <x v="2"/>
    </i>
    <i>
      <x v="3"/>
    </i>
    <i>
      <x v="4"/>
    </i>
    <i>
      <x v="5"/>
    </i>
  </colItems>
  <dataFields count="1">
    <dataField name="Antal av F22" fld="22" subtotal="count" baseField="0" baseItem="0"/>
  </dataFields>
  <formats count="4">
    <format dxfId="11">
      <pivotArea type="origin" dataOnly="0" labelOnly="1" outline="0" fieldPosition="0"/>
    </format>
    <format dxfId="10">
      <pivotArea field="22" type="button" dataOnly="0" labelOnly="1" outline="0" axis="axisRow" fieldPosition="0"/>
    </format>
    <format dxfId="9">
      <pivotArea dataOnly="0" labelOnly="1" fieldPosition="0">
        <references count="1">
          <reference field="22" count="0"/>
        </references>
      </pivotArea>
    </format>
    <format dxfId="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ell1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H17:M2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axis="axisRow" dataField="1">
      <items count="8">
        <item x="5"/>
        <item x="3"/>
        <item x="2"/>
        <item x="0"/>
        <item x="4"/>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7"/>
  </rowFields>
  <rowItems count="6">
    <i>
      <x/>
    </i>
    <i>
      <x v="1"/>
    </i>
    <i>
      <x v="2"/>
    </i>
    <i>
      <x v="3"/>
    </i>
    <i>
      <x v="4"/>
    </i>
    <i t="grand">
      <x/>
    </i>
  </rowItems>
  <colFields count="1">
    <field x="1"/>
  </colFields>
  <colItems count="5">
    <i>
      <x v="2"/>
    </i>
    <i>
      <x v="3"/>
    </i>
    <i>
      <x v="4"/>
    </i>
    <i>
      <x v="5"/>
    </i>
    <i>
      <x v="6"/>
    </i>
  </colItems>
  <dataFields count="1">
    <dataField name="Antal av F7" fld="7" subtotal="count" showDataAs="percentOfCol" baseField="8" baseItem="5" numFmtId="9"/>
  </dataFields>
  <formats count="2">
    <format dxfId="131">
      <pivotArea outline="0" fieldPosition="0">
        <references count="1">
          <reference field="4294967294" count="1">
            <x v="0"/>
          </reference>
        </references>
      </pivotArea>
    </format>
    <format dxfId="1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59FE4F41-281A-4919-862D-3E962CAAA533}" name="Pivottabell61"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45:W25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2"/>
        <item x="1"/>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8">
    <i>
      <x/>
    </i>
    <i>
      <x v="1"/>
    </i>
    <i>
      <x v="2"/>
    </i>
    <i>
      <x v="3"/>
    </i>
    <i>
      <x v="4"/>
    </i>
    <i>
      <x v="5"/>
    </i>
    <i>
      <x v="6"/>
    </i>
    <i t="grand">
      <x/>
    </i>
  </rowItems>
  <colFields count="1">
    <field x="1"/>
  </colFields>
  <colItems count="6">
    <i>
      <x/>
    </i>
    <i>
      <x v="1"/>
    </i>
    <i>
      <x v="2"/>
    </i>
    <i>
      <x v="3"/>
    </i>
    <i>
      <x v="4"/>
    </i>
    <i>
      <x v="5"/>
    </i>
  </colItems>
  <dataFields count="1">
    <dataField name="Medel av Mina lärare säger ifrån om någon behandlas illa eller blir kränkt2" fld="4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9616F78B-D093-4234-A2D4-171B50294165}" name="Pivottabell7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92:G301"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2"/>
        <item x="1"/>
        <item x="0"/>
        <item x="6"/>
        <item t="default"/>
      </items>
    </pivotField>
    <pivotField showAll="0"/>
    <pivotField showAll="0"/>
    <pivotField showAll="0"/>
    <pivotField showAll="0"/>
    <pivotField showAll="0"/>
    <pivotField showAll="0"/>
    <pivotField showAll="0"/>
    <pivotField showAll="0"/>
  </pivotFields>
  <rowFields count="1">
    <field x="51"/>
  </rowFields>
  <rowItems count="8">
    <i>
      <x/>
    </i>
    <i>
      <x v="1"/>
    </i>
    <i>
      <x v="2"/>
    </i>
    <i>
      <x v="3"/>
    </i>
    <i>
      <x v="4"/>
    </i>
    <i>
      <x v="5"/>
    </i>
    <i>
      <x v="6"/>
    </i>
    <i t="grand">
      <x/>
    </i>
  </rowItems>
  <colFields count="1">
    <field x="1"/>
  </colFields>
  <colItems count="6">
    <i>
      <x/>
    </i>
    <i>
      <x v="1"/>
    </i>
    <i>
      <x v="2"/>
    </i>
    <i>
      <x v="3"/>
    </i>
    <i>
      <x v="4"/>
    </i>
    <i>
      <x v="5"/>
    </i>
  </colItems>
  <dataFields count="1">
    <dataField name="Antal av Jag väljer att äta mig mätt i skolan" fld="51" subtotal="count" baseField="0" baseItem="0"/>
  </dataFields>
  <formats count="4">
    <format dxfId="15">
      <pivotArea type="origin" dataOnly="0" labelOnly="1" outline="0" fieldPosition="0"/>
    </format>
    <format dxfId="14">
      <pivotArea field="51" type="button" dataOnly="0" labelOnly="1" outline="0" axis="axisRow" fieldPosition="0"/>
    </format>
    <format dxfId="13">
      <pivotArea dataOnly="0" labelOnly="1" fieldPosition="0">
        <references count="1">
          <reference field="51" count="0"/>
        </references>
      </pivotArea>
    </format>
    <format dxfId="1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85B522DC-63B8-40BB-8F6D-CF4CDC5AF439}" name="Pivottabell4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85:G19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5"/>
        <item x="2"/>
        <item x="1"/>
        <item x="4"/>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9">
    <i>
      <x/>
    </i>
    <i>
      <x v="1"/>
    </i>
    <i>
      <x v="2"/>
    </i>
    <i>
      <x v="3"/>
    </i>
    <i>
      <x v="4"/>
    </i>
    <i>
      <x v="5"/>
    </i>
    <i>
      <x v="6"/>
    </i>
    <i>
      <x v="7"/>
    </i>
    <i t="grand">
      <x/>
    </i>
  </rowItems>
  <colFields count="1">
    <field x="1"/>
  </colFields>
  <colItems count="6">
    <i>
      <x/>
    </i>
    <i>
      <x v="1"/>
    </i>
    <i>
      <x v="2"/>
    </i>
    <i>
      <x v="3"/>
    </i>
    <i>
      <x v="4"/>
    </i>
    <i>
      <x v="5"/>
    </i>
  </colItems>
  <dataFields count="1">
    <dataField name="Antal av Vi brukar prata om hur vi ska bemöta varandra" fld="42" subtotal="count" baseField="0" baseItem="0"/>
  </dataFields>
  <formats count="4">
    <format dxfId="19">
      <pivotArea type="origin" dataOnly="0" labelOnly="1" outline="0" fieldPosition="0"/>
    </format>
    <format dxfId="18">
      <pivotArea field="42" type="button" dataOnly="0" labelOnly="1" outline="0" axis="axisRow" fieldPosition="0"/>
    </format>
    <format dxfId="17">
      <pivotArea dataOnly="0" labelOnly="1" fieldPosition="0">
        <references count="1">
          <reference field="42" count="0"/>
        </references>
      </pivotArea>
    </format>
    <format dxfId="1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73F0709A-75B0-4CAA-9C2A-7EA1B079F43D}" name="Pivottabell69" cacheId="19" applyNumberFormats="0" applyBorderFormats="0" applyFontFormats="0" applyPatternFormats="0" applyAlignmentFormats="0" applyWidthHeightFormats="1" dataCaption="Värden" updatedVersion="6" minRefreshableVersion="3" itemPrintTitles="1" createdVersion="6" indent="0" multipleFieldFilters="0">
  <location ref="Q4" firstHeaderRow="0" firstDataRow="0" firstDataCol="0" rowPageCount="2" colPageCount="1"/>
  <pivotFields count="60">
    <pivotField showAll="0"/>
    <pivotField axis="axisPage" showAll="0">
      <items count="7">
        <item x="0"/>
        <item x="1"/>
        <item x="2"/>
        <item x="3"/>
        <item x="4"/>
        <item x="5"/>
        <item t="default"/>
      </items>
    </pivotField>
    <pivotField axis="axisPage" showAll="0">
      <items count="11">
        <item x="0"/>
        <item m="1" x="5"/>
        <item m="1" x="7"/>
        <item x="2"/>
        <item m="1" x="8"/>
        <item x="3"/>
        <item x="1"/>
        <item x="4"/>
        <item m="1" x="9"/>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2">
    <pageField fld="1" item="5" hier="-1"/>
    <pageField fld="2" hier="-1"/>
  </pageFields>
  <formats count="3">
    <format dxfId="22">
      <pivotArea type="all" dataOnly="0" outline="0" fieldPosition="0"/>
    </format>
    <format dxfId="21">
      <pivotArea outline="0" collapsedLevelsAreSubtotals="1" fieldPosition="0"/>
    </format>
    <format dxfId="2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5C2AD194-7E34-47A1-ADC0-DBAB831EDDED}" name="Pivottabell49"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97:W20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9">
    <i>
      <x/>
    </i>
    <i>
      <x v="1"/>
    </i>
    <i>
      <x v="2"/>
    </i>
    <i>
      <x v="3"/>
    </i>
    <i>
      <x v="4"/>
    </i>
    <i>
      <x v="5"/>
    </i>
    <i>
      <x v="6"/>
    </i>
    <i>
      <x v="7"/>
    </i>
    <i t="grand">
      <x/>
    </i>
  </rowItems>
  <colFields count="1">
    <field x="1"/>
  </colFields>
  <colItems count="6">
    <i>
      <x/>
    </i>
    <i>
      <x v="1"/>
    </i>
    <i>
      <x v="2"/>
    </i>
    <i>
      <x v="3"/>
    </i>
    <i>
      <x v="4"/>
    </i>
    <i>
      <x v="5"/>
    </i>
  </colItems>
  <dataFields count="1">
    <dataField name="Medel av Ingen i skolan gör skillnad på tjejer eller killar" fld="4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78981D44-B82B-4339-A34C-5943C8660864}" name="Pivottabell2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01:W11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1"/>
        <item x="4"/>
        <item x="2"/>
        <item x="0"/>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8">
    <i>
      <x/>
    </i>
    <i>
      <x v="1"/>
    </i>
    <i>
      <x v="2"/>
    </i>
    <i>
      <x v="3"/>
    </i>
    <i>
      <x v="4"/>
    </i>
    <i>
      <x v="5"/>
    </i>
    <i>
      <x v="6"/>
    </i>
    <i t="grand">
      <x/>
    </i>
  </rowItems>
  <colFields count="1">
    <field x="1"/>
  </colFields>
  <colItems count="6">
    <i>
      <x/>
    </i>
    <i>
      <x v="1"/>
    </i>
    <i>
      <x v="2"/>
    </i>
    <i>
      <x v="3"/>
    </i>
    <i>
      <x v="4"/>
    </i>
    <i>
      <x v="5"/>
    </i>
  </colItems>
  <dataFields count="1">
    <dataField name="Medel av F35" fld="3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CA932A04-1349-4E29-9DB6-5656D4CD0C0F}" name="Pivottabell8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328:G33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s>
  <rowFields count="1">
    <field x="54"/>
  </rowFields>
  <rowItems count="9">
    <i>
      <x/>
    </i>
    <i>
      <x v="1"/>
    </i>
    <i>
      <x v="2"/>
    </i>
    <i>
      <x v="3"/>
    </i>
    <i>
      <x v="4"/>
    </i>
    <i>
      <x v="5"/>
    </i>
    <i>
      <x v="6"/>
    </i>
    <i>
      <x v="7"/>
    </i>
    <i t="grand">
      <x/>
    </i>
  </rowItems>
  <colFields count="1">
    <field x="1"/>
  </colFields>
  <colItems count="6">
    <i>
      <x/>
    </i>
    <i>
      <x v="1"/>
    </i>
    <i>
      <x v="2"/>
    </i>
    <i>
      <x v="3"/>
    </i>
    <i>
      <x v="4"/>
    </i>
    <i>
      <x v="5"/>
    </i>
  </colItems>
  <dataFields count="1">
    <dataField name="Antal av Toaletterna är rena och fina" fld="54" subtotal="count" baseField="0" baseItem="0"/>
  </dataFields>
  <formats count="4">
    <format dxfId="26">
      <pivotArea type="origin" dataOnly="0" labelOnly="1" outline="0" fieldPosition="0"/>
    </format>
    <format dxfId="25">
      <pivotArea field="54" type="button" dataOnly="0" labelOnly="1" outline="0" axis="axisRow" fieldPosition="0"/>
    </format>
    <format dxfId="24">
      <pivotArea dataOnly="0" labelOnly="1" fieldPosition="0">
        <references count="1">
          <reference field="54" count="0"/>
        </references>
      </pivotArea>
    </format>
    <format dxfId="2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1B37E6B0-C2A6-4FDE-92A9-D9C1D1CCB7F3}" name="Pivottabell4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85:O19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5"/>
        <item x="2"/>
        <item x="1"/>
        <item x="4"/>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9">
    <i>
      <x/>
    </i>
    <i>
      <x v="1"/>
    </i>
    <i>
      <x v="2"/>
    </i>
    <i>
      <x v="3"/>
    </i>
    <i>
      <x v="4"/>
    </i>
    <i>
      <x v="5"/>
    </i>
    <i>
      <x v="6"/>
    </i>
    <i>
      <x v="7"/>
    </i>
    <i t="grand">
      <x/>
    </i>
  </rowItems>
  <colFields count="1">
    <field x="1"/>
  </colFields>
  <colItems count="6">
    <i>
      <x/>
    </i>
    <i>
      <x v="1"/>
    </i>
    <i>
      <x v="2"/>
    </i>
    <i>
      <x v="3"/>
    </i>
    <i>
      <x v="4"/>
    </i>
    <i>
      <x v="5"/>
    </i>
  </colItems>
  <dataFields count="1">
    <dataField name="Antal av Vi brukar prata om hur vi ska bemöta varandra" fld="4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E3DE2AEE-FB8F-4B0D-AA6C-9318FAEA3A02}" name="Pivottabell6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57:G26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3"/>
        <item x="1"/>
        <item x="2"/>
        <item x="5"/>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9">
    <i>
      <x/>
    </i>
    <i>
      <x v="1"/>
    </i>
    <i>
      <x v="2"/>
    </i>
    <i>
      <x v="3"/>
    </i>
    <i>
      <x v="4"/>
    </i>
    <i>
      <x v="5"/>
    </i>
    <i>
      <x v="6"/>
    </i>
    <i>
      <x v="7"/>
    </i>
    <i t="grand">
      <x/>
    </i>
  </rowItems>
  <colFields count="1">
    <field x="1"/>
  </colFields>
  <colItems count="6">
    <i>
      <x/>
    </i>
    <i>
      <x v="1"/>
    </i>
    <i>
      <x v="2"/>
    </i>
    <i>
      <x v="3"/>
    </i>
    <i>
      <x v="4"/>
    </i>
    <i>
      <x v="5"/>
    </i>
  </colItems>
  <dataFields count="1">
    <dataField name="Antal av Det är lugnt i klassrummet " fld="48" subtotal="count" baseField="0" baseItem="0"/>
  </dataFields>
  <formats count="4">
    <format dxfId="30">
      <pivotArea type="origin" dataOnly="0" labelOnly="1" outline="0" fieldPosition="0"/>
    </format>
    <format dxfId="29">
      <pivotArea field="48" type="button" dataOnly="0" labelOnly="1" outline="0" axis="axisRow" fieldPosition="0"/>
    </format>
    <format dxfId="28">
      <pivotArea dataOnly="0" labelOnly="1" fieldPosition="0">
        <references count="1">
          <reference field="48" count="0"/>
        </references>
      </pivotArea>
    </format>
    <format dxfId="2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0040B29D-BCA6-437F-B921-DF4E19724EB3}" name="Pivottabell3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37:G146"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3"/>
        <item x="4"/>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8">
    <i>
      <x/>
    </i>
    <i>
      <x v="1"/>
    </i>
    <i>
      <x v="2"/>
    </i>
    <i>
      <x v="3"/>
    </i>
    <i>
      <x v="4"/>
    </i>
    <i>
      <x v="5"/>
    </i>
    <i>
      <x v="6"/>
    </i>
    <i t="grand">
      <x/>
    </i>
  </rowItems>
  <colFields count="1">
    <field x="1"/>
  </colFields>
  <colItems count="6">
    <i>
      <x/>
    </i>
    <i>
      <x v="1"/>
    </i>
    <i>
      <x v="2"/>
    </i>
    <i>
      <x v="3"/>
    </i>
    <i>
      <x v="4"/>
    </i>
    <i>
      <x v="5"/>
    </i>
  </colItems>
  <dataFields count="1">
    <dataField name="Antal av Jag känner att jag lyckas i skolan" fld="38" subtotal="count" baseField="0" baseItem="0"/>
  </dataFields>
  <formats count="4">
    <format dxfId="34">
      <pivotArea type="origin" dataOnly="0" labelOnly="1" outline="0" fieldPosition="0"/>
    </format>
    <format dxfId="33">
      <pivotArea field="38" type="button" dataOnly="0" labelOnly="1" outline="0" axis="axisRow" fieldPosition="0"/>
    </format>
    <format dxfId="32">
      <pivotArea dataOnly="0" labelOnly="1" fieldPosition="0">
        <references count="1">
          <reference field="38" count="0"/>
        </references>
      </pivotArea>
    </format>
    <format dxfId="3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800-000024000000}" name="Pivottabell14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31:N23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5"/>
        <item x="0"/>
        <item x="2"/>
        <item x="3"/>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6"/>
  </rowFields>
  <rowItems count="7">
    <i>
      <x/>
    </i>
    <i>
      <x v="1"/>
    </i>
    <i>
      <x v="2"/>
    </i>
    <i>
      <x v="3"/>
    </i>
    <i>
      <x v="4"/>
    </i>
    <i>
      <x v="5"/>
    </i>
    <i t="grand">
      <x/>
    </i>
  </rowItems>
  <colFields count="1">
    <field x="1"/>
  </colFields>
  <colItems count="5">
    <i>
      <x v="2"/>
    </i>
    <i>
      <x v="3"/>
    </i>
    <i>
      <x v="4"/>
    </i>
    <i>
      <x v="5"/>
    </i>
    <i>
      <x v="6"/>
    </i>
  </colItems>
  <dataFields count="1">
    <dataField name="Antal av I min skola är eleverna med och bestämmer trivselregler" fld="46" subtotal="count" showDataAs="percentOfCol" baseField="0" baseItem="0" numFmtId="10"/>
  </dataFields>
  <formats count="2">
    <format dxfId="133">
      <pivotArea collapsedLevelsAreSubtotals="1" fieldPosition="0">
        <references count="2">
          <reference field="1" count="4" selected="0">
            <x v="2"/>
            <x v="3"/>
            <x v="4"/>
            <x v="5"/>
          </reference>
          <reference field="46" count="0"/>
        </references>
      </pivotArea>
    </format>
    <format dxfId="132">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8AA17F15-0C38-449A-8D2E-04A976A8BA74}" name="Pivottabell7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92:W301"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2"/>
        <item x="1"/>
        <item x="0"/>
        <item x="6"/>
        <item t="default"/>
      </items>
    </pivotField>
    <pivotField showAll="0"/>
    <pivotField showAll="0"/>
    <pivotField showAll="0"/>
    <pivotField showAll="0"/>
    <pivotField showAll="0"/>
    <pivotField showAll="0"/>
    <pivotField showAll="0"/>
    <pivotField showAll="0"/>
  </pivotFields>
  <rowFields count="1">
    <field x="51"/>
  </rowFields>
  <rowItems count="8">
    <i>
      <x/>
    </i>
    <i>
      <x v="1"/>
    </i>
    <i>
      <x v="2"/>
    </i>
    <i>
      <x v="3"/>
    </i>
    <i>
      <x v="4"/>
    </i>
    <i>
      <x v="5"/>
    </i>
    <i>
      <x v="6"/>
    </i>
    <i t="grand">
      <x/>
    </i>
  </rowItems>
  <colFields count="1">
    <field x="1"/>
  </colFields>
  <colItems count="6">
    <i>
      <x/>
    </i>
    <i>
      <x v="1"/>
    </i>
    <i>
      <x v="2"/>
    </i>
    <i>
      <x v="3"/>
    </i>
    <i>
      <x v="4"/>
    </i>
    <i>
      <x v="5"/>
    </i>
  </colItems>
  <dataFields count="1">
    <dataField name="Medel av Jag väljer att äta mig mätt i skolan" fld="5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C7E182A2-3C7A-40B8-93F7-ED7F1E73F435}" name="Pivottabell2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13:G12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2"/>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8">
    <i>
      <x/>
    </i>
    <i>
      <x v="1"/>
    </i>
    <i>
      <x v="2"/>
    </i>
    <i>
      <x v="3"/>
    </i>
    <i>
      <x v="4"/>
    </i>
    <i>
      <x v="5"/>
    </i>
    <i>
      <x v="6"/>
    </i>
    <i t="grand">
      <x/>
    </i>
  </rowItems>
  <colFields count="1">
    <field x="1"/>
  </colFields>
  <colItems count="6">
    <i>
      <x/>
    </i>
    <i>
      <x v="1"/>
    </i>
    <i>
      <x v="2"/>
    </i>
    <i>
      <x v="3"/>
    </i>
    <i>
      <x v="4"/>
    </i>
    <i>
      <x v="5"/>
    </i>
  </colItems>
  <dataFields count="1">
    <dataField name="Antal av Mina lärare vet vad jag ska lära mig" fld="36" subtotal="count" baseField="0" baseItem="0"/>
  </dataFields>
  <formats count="4">
    <format dxfId="38">
      <pivotArea type="origin" dataOnly="0" labelOnly="1" outline="0" fieldPosition="0"/>
    </format>
    <format dxfId="37">
      <pivotArea field="36" type="button" dataOnly="0" labelOnly="1" outline="0" axis="axisRow" fieldPosition="0"/>
    </format>
    <format dxfId="36">
      <pivotArea dataOnly="0" labelOnly="1" fieldPosition="0">
        <references count="1">
          <reference field="36" count="0"/>
        </references>
      </pivotArea>
    </format>
    <format dxfId="3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18FCE6CB-3DE0-405F-BCBF-BA6F5D27E5BD}" name="Pivottabell3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37:W146"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3"/>
        <item x="4"/>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8">
    <i>
      <x/>
    </i>
    <i>
      <x v="1"/>
    </i>
    <i>
      <x v="2"/>
    </i>
    <i>
      <x v="3"/>
    </i>
    <i>
      <x v="4"/>
    </i>
    <i>
      <x v="5"/>
    </i>
    <i>
      <x v="6"/>
    </i>
    <i t="grand">
      <x/>
    </i>
  </rowItems>
  <colFields count="1">
    <field x="1"/>
  </colFields>
  <colItems count="6">
    <i>
      <x/>
    </i>
    <i>
      <x v="1"/>
    </i>
    <i>
      <x v="2"/>
    </i>
    <i>
      <x v="3"/>
    </i>
    <i>
      <x v="4"/>
    </i>
    <i>
      <x v="5"/>
    </i>
  </colItems>
  <dataFields count="1">
    <dataField name="Medel av Jag känner att jag lyckas i skolan" fld="3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36DE1BAD-FFA9-468E-8C60-60A1AEBE741D}" name="Pivottabell79"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316:G32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1"/>
        <item x="4"/>
        <item x="2"/>
        <item x="3"/>
        <item x="0"/>
        <item x="6"/>
        <item t="default"/>
      </items>
    </pivotField>
    <pivotField showAll="0"/>
    <pivotField showAll="0"/>
    <pivotField showAll="0"/>
    <pivotField showAll="0"/>
    <pivotField showAll="0"/>
    <pivotField showAll="0"/>
  </pivotFields>
  <rowFields count="1">
    <field x="53"/>
  </rowFields>
  <rowItems count="8">
    <i>
      <x/>
    </i>
    <i>
      <x v="1"/>
    </i>
    <i>
      <x v="2"/>
    </i>
    <i>
      <x v="3"/>
    </i>
    <i>
      <x v="4"/>
    </i>
    <i>
      <x v="5"/>
    </i>
    <i>
      <x v="6"/>
    </i>
    <i t="grand">
      <x/>
    </i>
  </rowItems>
  <colFields count="1">
    <field x="1"/>
  </colFields>
  <colItems count="6">
    <i>
      <x/>
    </i>
    <i>
      <x v="1"/>
    </i>
    <i>
      <x v="2"/>
    </i>
    <i>
      <x v="3"/>
    </i>
    <i>
      <x v="4"/>
    </i>
    <i>
      <x v="5"/>
    </i>
  </colItems>
  <dataFields count="1">
    <dataField name="Antal av De som jobbar i skolrestaurangen är trevliga och serviceinriktade" fld="53" subtotal="count" baseField="0" baseItem="0"/>
  </dataFields>
  <formats count="4">
    <format dxfId="42">
      <pivotArea type="origin" dataOnly="0" labelOnly="1" outline="0" fieldPosition="0"/>
    </format>
    <format dxfId="41">
      <pivotArea field="53" type="button" dataOnly="0" labelOnly="1" outline="0" axis="axisRow" fieldPosition="0"/>
    </format>
    <format dxfId="40">
      <pivotArea dataOnly="0" labelOnly="1" fieldPosition="0">
        <references count="1">
          <reference field="53" count="0"/>
        </references>
      </pivotArea>
    </format>
    <format dxfId="3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AB7C31CB-7CF8-4D21-9D16-8518C10A55B1}" name="Pivottabell1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53:O63"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5"/>
        <item x="1"/>
        <item x="0"/>
        <item x="3"/>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Fields count="1">
    <field x="1"/>
  </colFields>
  <colItems count="6">
    <i>
      <x/>
    </i>
    <i>
      <x v="1"/>
    </i>
    <i>
      <x v="2"/>
    </i>
    <i>
      <x v="3"/>
    </i>
    <i>
      <x v="4"/>
    </i>
    <i>
      <x v="5"/>
    </i>
  </colItems>
  <dataFields count="1">
    <dataField name="Antal av F23" fld="2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9D2160F4-2CC0-4B3F-8BC2-ED5E741EC060}" name="Pivottabell6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69:O27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1"/>
        <item x="3"/>
        <item x="0"/>
        <item x="5"/>
        <item x="6"/>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8">
    <i>
      <x/>
    </i>
    <i>
      <x v="1"/>
    </i>
    <i>
      <x v="2"/>
    </i>
    <i>
      <x v="3"/>
    </i>
    <i>
      <x v="4"/>
    </i>
    <i>
      <x v="5"/>
    </i>
    <i>
      <x v="6"/>
    </i>
    <i t="grand">
      <x/>
    </i>
  </rowItems>
  <colFields count="1">
    <field x="1"/>
  </colFields>
  <colItems count="6">
    <i>
      <x/>
    </i>
    <i>
      <x v="1"/>
    </i>
    <i>
      <x v="2"/>
    </i>
    <i>
      <x v="3"/>
    </i>
    <i>
      <x v="4"/>
    </i>
    <i>
      <x v="5"/>
    </i>
  </colItems>
  <dataFields count="1">
    <dataField name="Antal av Jag vet vem på skolan jag kan prata med om någon varit elak " fld="4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4A9D594C-71A3-46D9-BA4F-87EA5DEB59DE}" name="Pivottabell48"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97:O20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9">
    <i>
      <x/>
    </i>
    <i>
      <x v="1"/>
    </i>
    <i>
      <x v="2"/>
    </i>
    <i>
      <x v="3"/>
    </i>
    <i>
      <x v="4"/>
    </i>
    <i>
      <x v="5"/>
    </i>
    <i>
      <x v="6"/>
    </i>
    <i>
      <x v="7"/>
    </i>
    <i t="grand">
      <x/>
    </i>
  </rowItems>
  <colFields count="1">
    <field x="1"/>
  </colFields>
  <colItems count="6">
    <i>
      <x/>
    </i>
    <i>
      <x v="1"/>
    </i>
    <i>
      <x v="2"/>
    </i>
    <i>
      <x v="3"/>
    </i>
    <i>
      <x v="4"/>
    </i>
    <i>
      <x v="5"/>
    </i>
  </colItems>
  <dataFields count="1">
    <dataField name="Antal av Ingen i skolan gör skillnad på tjejer eller killar" fld="4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B5228D45-DD91-4B90-85C8-B6E5851F8EF1}" name="Pivottabell2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89:W99"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2"/>
        <item x="1"/>
        <item x="0"/>
        <item x="3"/>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9">
    <i>
      <x/>
    </i>
    <i>
      <x v="1"/>
    </i>
    <i>
      <x v="2"/>
    </i>
    <i>
      <x v="3"/>
    </i>
    <i>
      <x v="4"/>
    </i>
    <i>
      <x v="5"/>
    </i>
    <i>
      <x v="6"/>
    </i>
    <i>
      <x v="7"/>
    </i>
    <i t="grand">
      <x/>
    </i>
  </rowItems>
  <colFields count="1">
    <field x="1"/>
  </colFields>
  <colItems count="6">
    <i>
      <x/>
    </i>
    <i>
      <x v="1"/>
    </i>
    <i>
      <x v="2"/>
    </i>
    <i>
      <x v="3"/>
    </i>
    <i>
      <x v="4"/>
    </i>
    <i>
      <x v="5"/>
    </i>
  </colItems>
  <dataFields count="1">
    <dataField name="Medel av F34" fld="3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D6243F07-4371-4D0C-ADAB-9C50CFE3A9FF}" name="Pivottabell4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97:G20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9">
    <i>
      <x/>
    </i>
    <i>
      <x v="1"/>
    </i>
    <i>
      <x v="2"/>
    </i>
    <i>
      <x v="3"/>
    </i>
    <i>
      <x v="4"/>
    </i>
    <i>
      <x v="5"/>
    </i>
    <i>
      <x v="6"/>
    </i>
    <i>
      <x v="7"/>
    </i>
    <i t="grand">
      <x/>
    </i>
  </rowItems>
  <colFields count="1">
    <field x="1"/>
  </colFields>
  <colItems count="6">
    <i>
      <x/>
    </i>
    <i>
      <x v="1"/>
    </i>
    <i>
      <x v="2"/>
    </i>
    <i>
      <x v="3"/>
    </i>
    <i>
      <x v="4"/>
    </i>
    <i>
      <x v="5"/>
    </i>
  </colItems>
  <dataFields count="1">
    <dataField name="Antal av Ingen i skolan gör skillnad på tjejer eller killar" fld="43" subtotal="count" baseField="0" baseItem="0"/>
  </dataFields>
  <formats count="4">
    <format dxfId="46">
      <pivotArea type="origin" dataOnly="0" labelOnly="1" outline="0" fieldPosition="0"/>
    </format>
    <format dxfId="45">
      <pivotArea field="43" type="button" dataOnly="0" labelOnly="1" outline="0" axis="axisRow" fieldPosition="0"/>
    </format>
    <format dxfId="44">
      <pivotArea dataOnly="0" labelOnly="1" fieldPosition="0">
        <references count="1">
          <reference field="43" count="0"/>
        </references>
      </pivotArea>
    </format>
    <format dxfId="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83ED6A89-863A-408E-81BB-377D497CD3DF}" name="Pivottabell60"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45:O25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2"/>
        <item x="1"/>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8">
    <i>
      <x/>
    </i>
    <i>
      <x v="1"/>
    </i>
    <i>
      <x v="2"/>
    </i>
    <i>
      <x v="3"/>
    </i>
    <i>
      <x v="4"/>
    </i>
    <i>
      <x v="5"/>
    </i>
    <i>
      <x v="6"/>
    </i>
    <i t="grand">
      <x/>
    </i>
  </rowItems>
  <colFields count="1">
    <field x="1"/>
  </colFields>
  <colItems count="6">
    <i>
      <x/>
    </i>
    <i>
      <x v="1"/>
    </i>
    <i>
      <x v="2"/>
    </i>
    <i>
      <x v="3"/>
    </i>
    <i>
      <x v="4"/>
    </i>
    <i>
      <x v="5"/>
    </i>
  </colItems>
  <dataFields count="1">
    <dataField name="Antal av Mina lärare säger ifrån om någon behandlas illa eller blir kränkt2" fld="4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800-000025000000}" name="Pivottabell14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31:U237"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5"/>
        <item x="0"/>
        <item x="2"/>
        <item h="1" x="3"/>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6"/>
  </rowFields>
  <rowItems count="5">
    <i>
      <x/>
    </i>
    <i>
      <x v="1"/>
    </i>
    <i>
      <x v="2"/>
    </i>
    <i>
      <x v="3"/>
    </i>
    <i t="grand">
      <x/>
    </i>
  </rowItems>
  <colFields count="1">
    <field x="1"/>
  </colFields>
  <colItems count="5">
    <i>
      <x v="2"/>
    </i>
    <i>
      <x v="3"/>
    </i>
    <i>
      <x v="4"/>
    </i>
    <i>
      <x v="5"/>
    </i>
    <i>
      <x v="6"/>
    </i>
  </colItems>
  <dataFields count="1">
    <dataField name="Medel av I min skola är eleverna med och bestämmer trivselregler" fld="46" subtotal="average" baseField="5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5591114E-DCEE-4412-A0B8-31707E751494}" name="Pivottabell29"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25:G13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8">
    <i>
      <x/>
    </i>
    <i>
      <x v="1"/>
    </i>
    <i>
      <x v="2"/>
    </i>
    <i>
      <x v="3"/>
    </i>
    <i>
      <x v="4"/>
    </i>
    <i>
      <x v="5"/>
    </i>
    <i>
      <x v="6"/>
    </i>
    <i t="grand">
      <x/>
    </i>
  </rowItems>
  <colFields count="1">
    <field x="1"/>
  </colFields>
  <colItems count="6">
    <i>
      <x/>
    </i>
    <i>
      <x v="1"/>
    </i>
    <i>
      <x v="2"/>
    </i>
    <i>
      <x v="3"/>
    </i>
    <i>
      <x v="4"/>
    </i>
    <i>
      <x v="5"/>
    </i>
  </colItems>
  <dataFields count="1">
    <dataField name="Antal av När jag vill lära mig mer får jag nya uppgifter" fld="37" subtotal="count" baseField="0" baseItem="0"/>
  </dataFields>
  <formats count="4">
    <format dxfId="50">
      <pivotArea type="origin" dataOnly="0" labelOnly="1" outline="0" fieldPosition="0"/>
    </format>
    <format dxfId="49">
      <pivotArea field="37" type="button" dataOnly="0" labelOnly="1" outline="0" axis="axisRow" fieldPosition="0"/>
    </format>
    <format dxfId="48">
      <pivotArea dataOnly="0" labelOnly="1" fieldPosition="0">
        <references count="1">
          <reference field="37" count="0"/>
        </references>
      </pivotArea>
    </format>
    <format dxfId="4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CB6FBA9C-086E-4D60-A640-58EAEA930D53}" name="Pivottabell7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80:W29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1"/>
        <item x="4"/>
        <item x="2"/>
        <item x="5"/>
        <item x="0"/>
        <item x="6"/>
        <item x="7"/>
        <item t="default"/>
      </items>
    </pivotField>
    <pivotField showAll="0"/>
    <pivotField showAll="0"/>
    <pivotField showAll="0"/>
    <pivotField showAll="0"/>
    <pivotField showAll="0"/>
    <pivotField showAll="0"/>
    <pivotField showAll="0"/>
    <pivotField showAll="0"/>
    <pivotField showAll="0"/>
  </pivotFields>
  <rowFields count="1">
    <field x="50"/>
  </rowFields>
  <rowItems count="9">
    <i>
      <x/>
    </i>
    <i>
      <x v="1"/>
    </i>
    <i>
      <x v="2"/>
    </i>
    <i>
      <x v="3"/>
    </i>
    <i>
      <x v="4"/>
    </i>
    <i>
      <x v="5"/>
    </i>
    <i>
      <x v="6"/>
    </i>
    <i>
      <x v="7"/>
    </i>
    <i t="grand">
      <x/>
    </i>
  </rowItems>
  <colFields count="1">
    <field x="1"/>
  </colFields>
  <colItems count="6">
    <i>
      <x/>
    </i>
    <i>
      <x v="1"/>
    </i>
    <i>
      <x v="2"/>
    </i>
    <i>
      <x v="3"/>
    </i>
    <i>
      <x v="4"/>
    </i>
    <i>
      <x v="5"/>
    </i>
  </colItems>
  <dataFields count="1">
    <dataField name="Medel av Maten på min skola är bra, sett till näringsinnehåll, utseende, smak och klimat- och miljöperspektiv" fld="5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18985E95-E376-4765-836B-21FCF89FE0A3}" name="Pivottabell20"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89:G99"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2"/>
        <item x="1"/>
        <item x="0"/>
        <item x="3"/>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9">
    <i>
      <x/>
    </i>
    <i>
      <x v="1"/>
    </i>
    <i>
      <x v="2"/>
    </i>
    <i>
      <x v="3"/>
    </i>
    <i>
      <x v="4"/>
    </i>
    <i>
      <x v="5"/>
    </i>
    <i>
      <x v="6"/>
    </i>
    <i>
      <x v="7"/>
    </i>
    <i t="grand">
      <x/>
    </i>
  </rowItems>
  <colFields count="1">
    <field x="1"/>
  </colFields>
  <colItems count="6">
    <i>
      <x/>
    </i>
    <i>
      <x v="1"/>
    </i>
    <i>
      <x v="2"/>
    </i>
    <i>
      <x v="3"/>
    </i>
    <i>
      <x v="4"/>
    </i>
    <i>
      <x v="5"/>
    </i>
  </colItems>
  <dataFields count="1">
    <dataField name="Antal av F34" fld="34" subtotal="count" baseField="0" baseItem="0"/>
  </dataFields>
  <formats count="4">
    <format dxfId="54">
      <pivotArea type="origin" dataOnly="0" labelOnly="1" outline="0" fieldPosition="0"/>
    </format>
    <format dxfId="53">
      <pivotArea field="34" type="button" dataOnly="0" labelOnly="1" outline="0" axis="axisRow" fieldPosition="0"/>
    </format>
    <format dxfId="52">
      <pivotArea dataOnly="0" labelOnly="1" fieldPosition="0">
        <references count="1">
          <reference field="34" count="0"/>
        </references>
      </pivotArea>
    </format>
    <format dxfId="5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8ED560FB-D244-46E5-A58F-6746B1C4AE94}" name="Pivottabell6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69:W27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1"/>
        <item x="3"/>
        <item x="0"/>
        <item x="5"/>
        <item x="6"/>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8">
    <i>
      <x/>
    </i>
    <i>
      <x v="1"/>
    </i>
    <i>
      <x v="2"/>
    </i>
    <i>
      <x v="3"/>
    </i>
    <i>
      <x v="4"/>
    </i>
    <i>
      <x v="5"/>
    </i>
    <i>
      <x v="6"/>
    </i>
    <i t="grand">
      <x/>
    </i>
  </rowItems>
  <colFields count="1">
    <field x="1"/>
  </colFields>
  <colItems count="6">
    <i>
      <x/>
    </i>
    <i>
      <x v="1"/>
    </i>
    <i>
      <x v="2"/>
    </i>
    <i>
      <x v="3"/>
    </i>
    <i>
      <x v="4"/>
    </i>
    <i>
      <x v="5"/>
    </i>
  </colItems>
  <dataFields count="1">
    <dataField name="Medel av Jag vet vem på skolan jag kan prata med om någon varit elak " fld="4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68F95776-5E52-4B9D-8348-62A3BF4BD404}" name="Pivottabell4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85:W19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5"/>
        <item x="2"/>
        <item x="1"/>
        <item x="4"/>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9">
    <i>
      <x/>
    </i>
    <i>
      <x v="1"/>
    </i>
    <i>
      <x v="2"/>
    </i>
    <i>
      <x v="3"/>
    </i>
    <i>
      <x v="4"/>
    </i>
    <i>
      <x v="5"/>
    </i>
    <i>
      <x v="6"/>
    </i>
    <i>
      <x v="7"/>
    </i>
    <i t="grand">
      <x/>
    </i>
  </rowItems>
  <colFields count="1">
    <field x="1"/>
  </colFields>
  <colItems count="6">
    <i>
      <x/>
    </i>
    <i>
      <x v="1"/>
    </i>
    <i>
      <x v="2"/>
    </i>
    <i>
      <x v="3"/>
    </i>
    <i>
      <x v="4"/>
    </i>
    <i>
      <x v="5"/>
    </i>
  </colItems>
  <dataFields count="1">
    <dataField name="Medel av Vi brukar prata om hur vi ska bemöta varandra" fld="4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EE0DC88B-7FB6-427F-B99D-A41343577AE4}" name="Pivottabell3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49:W15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3"/>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8">
    <i>
      <x/>
    </i>
    <i>
      <x v="1"/>
    </i>
    <i>
      <x v="2"/>
    </i>
    <i>
      <x v="3"/>
    </i>
    <i>
      <x v="4"/>
    </i>
    <i>
      <x v="5"/>
    </i>
    <i>
      <x v="6"/>
    </i>
    <i t="grand">
      <x/>
    </i>
  </rowItems>
  <colFields count="1">
    <field x="1"/>
  </colFields>
  <colItems count="6">
    <i>
      <x/>
    </i>
    <i>
      <x v="1"/>
    </i>
    <i>
      <x v="2"/>
    </i>
    <i>
      <x v="3"/>
    </i>
    <i>
      <x v="4"/>
    </i>
    <i>
      <x v="5"/>
    </i>
  </colItems>
  <dataFields count="1">
    <dataField name="Medel av Jag får lära mig på olika sätt exempelvis läsa, lyssna, se film, skriva" fld="3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25273985-3F20-4167-8ADC-E0E2C81B7B3A}" name="Pivottabell5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21:G23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1"/>
        <item x="2"/>
        <item x="3"/>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8">
    <i>
      <x/>
    </i>
    <i>
      <x v="1"/>
    </i>
    <i>
      <x v="2"/>
    </i>
    <i>
      <x v="3"/>
    </i>
    <i>
      <x v="4"/>
    </i>
    <i>
      <x v="5"/>
    </i>
    <i>
      <x v="6"/>
    </i>
    <i t="grand">
      <x/>
    </i>
  </rowItems>
  <colFields count="1">
    <field x="1"/>
  </colFields>
  <colItems count="6">
    <i>
      <x/>
    </i>
    <i>
      <x v="1"/>
    </i>
    <i>
      <x v="2"/>
    </i>
    <i>
      <x v="3"/>
    </i>
    <i>
      <x v="4"/>
    </i>
    <i>
      <x v="5"/>
    </i>
  </colItems>
  <dataFields count="1">
    <dataField name="Antal av Jag får vara med och välja vad vi ska göra på lektionerna2" fld="45" subtotal="count" baseField="0" baseItem="0"/>
  </dataFields>
  <formats count="4">
    <format dxfId="58">
      <pivotArea type="origin" dataOnly="0" labelOnly="1" outline="0" fieldPosition="0"/>
    </format>
    <format dxfId="57">
      <pivotArea field="45" type="button" dataOnly="0" labelOnly="1" outline="0" axis="axisRow" fieldPosition="0"/>
    </format>
    <format dxfId="56">
      <pivotArea dataOnly="0" labelOnly="1" fieldPosition="0">
        <references count="1">
          <reference field="45" count="0"/>
        </references>
      </pivotArea>
    </format>
    <format dxfId="5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56813418-CFFC-4643-A681-899E370AC6DA}" name="Pivottabell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9:G3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axis="axisRow" dataField="1" showAll="0">
      <items count="8">
        <item x="4"/>
        <item x="1"/>
        <item x="2"/>
        <item x="0"/>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8">
    <i>
      <x/>
    </i>
    <i>
      <x v="1"/>
    </i>
    <i>
      <x v="2"/>
    </i>
    <i>
      <x v="3"/>
    </i>
    <i>
      <x v="4"/>
    </i>
    <i>
      <x v="5"/>
    </i>
    <i>
      <x v="6"/>
    </i>
    <i t="grand">
      <x/>
    </i>
  </rowItems>
  <colFields count="1">
    <field x="1"/>
  </colFields>
  <colItems count="6">
    <i>
      <x/>
    </i>
    <i>
      <x v="1"/>
    </i>
    <i>
      <x v="2"/>
    </i>
    <i>
      <x v="3"/>
    </i>
    <i>
      <x v="4"/>
    </i>
    <i>
      <x v="5"/>
    </i>
  </colItems>
  <dataFields count="1">
    <dataField name="Antal av F9" fld="9" subtotal="count" baseField="0" baseItem="0"/>
  </dataFields>
  <formats count="4">
    <format dxfId="62">
      <pivotArea type="origin" dataOnly="0" labelOnly="1" outline="0" fieldPosition="0"/>
    </format>
    <format dxfId="61">
      <pivotArea field="9" type="button" dataOnly="0" labelOnly="1" outline="0" axis="axisRow" fieldPosition="0"/>
    </format>
    <format dxfId="60">
      <pivotArea dataOnly="0" labelOnly="1" fieldPosition="0">
        <references count="1">
          <reference field="9" count="0"/>
        </references>
      </pivotArea>
    </format>
    <format dxfId="5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9635CDA7-97F4-4D7E-8913-C81AA1D67206}" name="Pivottabell1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65:W7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2"/>
        <item x="1"/>
        <item x="0"/>
        <item x="4"/>
        <item x="6"/>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9">
    <i>
      <x/>
    </i>
    <i>
      <x v="1"/>
    </i>
    <i>
      <x v="2"/>
    </i>
    <i>
      <x v="3"/>
    </i>
    <i>
      <x v="4"/>
    </i>
    <i>
      <x v="5"/>
    </i>
    <i>
      <x v="6"/>
    </i>
    <i>
      <x v="7"/>
    </i>
    <i t="grand">
      <x/>
    </i>
  </rowItems>
  <colFields count="1">
    <field x="1"/>
  </colFields>
  <colItems count="6">
    <i>
      <x/>
    </i>
    <i>
      <x v="1"/>
    </i>
    <i>
      <x v="2"/>
    </i>
    <i>
      <x v="3"/>
    </i>
    <i>
      <x v="4"/>
    </i>
    <i>
      <x v="5"/>
    </i>
  </colItems>
  <dataFields count="1">
    <dataField name="Medel av F24" fld="24" subtotal="average" baseField="2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5F1BA0D7-2948-4F30-8D39-F4042A7FB28B}" name="Pivottabell8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340:O349"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1"/>
        <item x="2"/>
        <item x="0"/>
        <item x="6"/>
        <item t="default"/>
      </items>
    </pivotField>
    <pivotField showAll="0"/>
    <pivotField showAll="0"/>
    <pivotField showAll="0"/>
    <pivotField showAll="0"/>
  </pivotFields>
  <rowFields count="1">
    <field x="55"/>
  </rowFields>
  <rowItems count="8">
    <i>
      <x/>
    </i>
    <i>
      <x v="1"/>
    </i>
    <i>
      <x v="2"/>
    </i>
    <i>
      <x v="3"/>
    </i>
    <i>
      <x v="4"/>
    </i>
    <i>
      <x v="5"/>
    </i>
    <i>
      <x v="6"/>
    </i>
    <i t="grand">
      <x/>
    </i>
  </rowItems>
  <colFields count="1">
    <field x="1"/>
  </colFields>
  <colItems count="6">
    <i>
      <x/>
    </i>
    <i>
      <x v="1"/>
    </i>
    <i>
      <x v="2"/>
    </i>
    <i>
      <x v="3"/>
    </i>
    <i>
      <x v="4"/>
    </i>
    <i>
      <x v="5"/>
    </i>
  </colItems>
  <dataFields count="1">
    <dataField name="Antal av Jag får veta vad man kan göra efter studenten " fld="5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800-00003F000000}" name="Pivottabell165"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320:U326"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3"/>
        <item x="2"/>
        <item h="1" x="0"/>
        <item h="1" x="1"/>
        <item x="5"/>
      </items>
    </pivotField>
    <pivotField showAll="0" defaultSubtotal="0"/>
    <pivotField showAll="0"/>
    <pivotField showAll="0"/>
    <pivotField showAll="0"/>
    <pivotField showAll="0"/>
  </pivotFields>
  <rowFields count="1">
    <field x="54"/>
  </rowFields>
  <rowItems count="5">
    <i>
      <x/>
    </i>
    <i>
      <x v="1"/>
    </i>
    <i>
      <x v="2"/>
    </i>
    <i>
      <x v="5"/>
    </i>
    <i t="grand">
      <x/>
    </i>
  </rowItems>
  <colFields count="1">
    <field x="1"/>
  </colFields>
  <colItems count="5">
    <i>
      <x v="2"/>
    </i>
    <i>
      <x v="3"/>
    </i>
    <i>
      <x v="4"/>
    </i>
    <i>
      <x v="5"/>
    </i>
    <i>
      <x v="6"/>
    </i>
  </colItems>
  <dataFields count="1">
    <dataField name="Medel av Toaletterna är rena och fina" fld="5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9161C749-3847-4F1E-A67C-D253CDD42503}" name="Pivottabell7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304:O31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 showAll="0"/>
    <pivotField showAll="0"/>
  </pivotFields>
  <rowFields count="1">
    <field x="52"/>
  </rowFields>
  <rowItems count="9">
    <i>
      <x/>
    </i>
    <i>
      <x v="1"/>
    </i>
    <i>
      <x v="2"/>
    </i>
    <i>
      <x v="3"/>
    </i>
    <i>
      <x v="4"/>
    </i>
    <i>
      <x v="5"/>
    </i>
    <i>
      <x v="6"/>
    </i>
    <i>
      <x v="7"/>
    </i>
    <i t="grand">
      <x/>
    </i>
  </rowItems>
  <colFields count="1">
    <field x="1"/>
  </colFields>
  <colItems count="6">
    <i>
      <x/>
    </i>
    <i>
      <x v="1"/>
    </i>
    <i>
      <x v="2"/>
    </i>
    <i>
      <x v="3"/>
    </i>
    <i>
      <x v="4"/>
    </i>
    <i>
      <x v="5"/>
    </i>
  </colItems>
  <dataFields count="1">
    <dataField name="Antal av Skolrestaurangen har en miljö som är trivsam att vara i " fld="5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74C20A85-221C-477A-BE23-E45C814ED296}" name="Pivottabell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9:O3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axis="axisRow" dataField="1" showAll="0">
      <items count="8">
        <item x="4"/>
        <item x="1"/>
        <item x="2"/>
        <item x="0"/>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8">
    <i>
      <x/>
    </i>
    <i>
      <x v="1"/>
    </i>
    <i>
      <x v="2"/>
    </i>
    <i>
      <x v="3"/>
    </i>
    <i>
      <x v="4"/>
    </i>
    <i>
      <x v="5"/>
    </i>
    <i>
      <x v="6"/>
    </i>
    <i t="grand">
      <x/>
    </i>
  </rowItems>
  <colFields count="1">
    <field x="1"/>
  </colFields>
  <colItems count="6">
    <i>
      <x/>
    </i>
    <i>
      <x v="1"/>
    </i>
    <i>
      <x v="2"/>
    </i>
    <i>
      <x v="3"/>
    </i>
    <i>
      <x v="4"/>
    </i>
    <i>
      <x v="5"/>
    </i>
  </colItems>
  <dataFields count="1">
    <dataField name="Antal av F9" fld="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BA22E6B0-7937-4261-888C-B5EC44435B2C}" name="Pivottabell2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01:O11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1"/>
        <item x="4"/>
        <item x="2"/>
        <item x="0"/>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8">
    <i>
      <x/>
    </i>
    <i>
      <x v="1"/>
    </i>
    <i>
      <x v="2"/>
    </i>
    <i>
      <x v="3"/>
    </i>
    <i>
      <x v="4"/>
    </i>
    <i>
      <x v="5"/>
    </i>
    <i>
      <x v="6"/>
    </i>
    <i t="grand">
      <x/>
    </i>
  </rowItems>
  <colFields count="1">
    <field x="1"/>
  </colFields>
  <colItems count="6">
    <i>
      <x/>
    </i>
    <i>
      <x v="1"/>
    </i>
    <i>
      <x v="2"/>
    </i>
    <i>
      <x v="3"/>
    </i>
    <i>
      <x v="4"/>
    </i>
    <i>
      <x v="5"/>
    </i>
  </colItems>
  <dataFields count="1">
    <dataField name="Antal av F35" fld="3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F50246E2-8A48-4DA0-860A-9C59EF0F3286}" name="Pivottabell5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21:O23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1"/>
        <item x="2"/>
        <item x="3"/>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8">
    <i>
      <x/>
    </i>
    <i>
      <x v="1"/>
    </i>
    <i>
      <x v="2"/>
    </i>
    <i>
      <x v="3"/>
    </i>
    <i>
      <x v="4"/>
    </i>
    <i>
      <x v="5"/>
    </i>
    <i>
      <x v="6"/>
    </i>
    <i t="grand">
      <x/>
    </i>
  </rowItems>
  <colFields count="1">
    <field x="1"/>
  </colFields>
  <colItems count="6">
    <i>
      <x/>
    </i>
    <i>
      <x v="1"/>
    </i>
    <i>
      <x v="2"/>
    </i>
    <i>
      <x v="3"/>
    </i>
    <i>
      <x v="4"/>
    </i>
    <i>
      <x v="5"/>
    </i>
  </colItems>
  <dataFields count="1">
    <dataField name="Antal av Jag får vara med och välja vad vi ska göra på lektionerna2" fld="4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9F4BE373-EC0E-427E-BBC0-85064BB18931}" name="Pivottabell1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77:G8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5"/>
        <item x="1"/>
        <item x="0"/>
        <item x="3"/>
        <item x="2"/>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9">
    <i>
      <x/>
    </i>
    <i>
      <x v="1"/>
    </i>
    <i>
      <x v="2"/>
    </i>
    <i>
      <x v="3"/>
    </i>
    <i>
      <x v="4"/>
    </i>
    <i>
      <x v="5"/>
    </i>
    <i>
      <x v="6"/>
    </i>
    <i>
      <x v="7"/>
    </i>
    <i t="grand">
      <x/>
    </i>
  </rowItems>
  <colFields count="1">
    <field x="1"/>
  </colFields>
  <colItems count="6">
    <i>
      <x/>
    </i>
    <i>
      <x v="1"/>
    </i>
    <i>
      <x v="2"/>
    </i>
    <i>
      <x v="3"/>
    </i>
    <i>
      <x v="4"/>
    </i>
    <i>
      <x v="5"/>
    </i>
  </colItems>
  <dataFields count="1">
    <dataField name="Antal av F27" fld="27" subtotal="count" baseField="0" baseItem="0"/>
  </dataFields>
  <formats count="4">
    <format dxfId="66">
      <pivotArea type="origin" dataOnly="0" labelOnly="1" outline="0" fieldPosition="0"/>
    </format>
    <format dxfId="65">
      <pivotArea field="27" type="button" dataOnly="0" labelOnly="1" outline="0" axis="axisRow" fieldPosition="0"/>
    </format>
    <format dxfId="64">
      <pivotArea dataOnly="0" labelOnly="1" fieldPosition="0">
        <references count="1">
          <reference field="27" count="0"/>
        </references>
      </pivotArea>
    </format>
    <format dxfId="6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BBB70CF1-DDC7-4278-98BD-FDD88C6389CE}" name="Pivottabell4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73:O18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2"/>
        <item x="1"/>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8">
    <i>
      <x/>
    </i>
    <i>
      <x v="1"/>
    </i>
    <i>
      <x v="2"/>
    </i>
    <i>
      <x v="3"/>
    </i>
    <i>
      <x v="4"/>
    </i>
    <i>
      <x v="5"/>
    </i>
    <i>
      <x v="6"/>
    </i>
    <i t="grand">
      <x/>
    </i>
  </rowItems>
  <colFields count="1">
    <field x="1"/>
  </colFields>
  <colItems count="6">
    <i>
      <x/>
    </i>
    <i>
      <x v="1"/>
    </i>
    <i>
      <x v="2"/>
    </i>
    <i>
      <x v="3"/>
    </i>
    <i>
      <x v="4"/>
    </i>
    <i>
      <x v="5"/>
    </i>
  </colItems>
  <dataFields count="1">
    <dataField name="Antal av I skolan pratar vi om att alla är lika mycket värda " fld="4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1156FE64-DFAF-4693-8877-B1688B5A892C}" name="Pivottabell71"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80:O29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1"/>
        <item x="4"/>
        <item x="2"/>
        <item x="5"/>
        <item x="0"/>
        <item x="6"/>
        <item x="7"/>
        <item t="default"/>
      </items>
    </pivotField>
    <pivotField showAll="0"/>
    <pivotField showAll="0"/>
    <pivotField showAll="0"/>
    <pivotField showAll="0"/>
    <pivotField showAll="0"/>
    <pivotField showAll="0"/>
    <pivotField showAll="0"/>
    <pivotField showAll="0"/>
    <pivotField showAll="0"/>
  </pivotFields>
  <rowFields count="1">
    <field x="50"/>
  </rowFields>
  <rowItems count="9">
    <i>
      <x/>
    </i>
    <i>
      <x v="1"/>
    </i>
    <i>
      <x v="2"/>
    </i>
    <i>
      <x v="3"/>
    </i>
    <i>
      <x v="4"/>
    </i>
    <i>
      <x v="5"/>
    </i>
    <i>
      <x v="6"/>
    </i>
    <i>
      <x v="7"/>
    </i>
    <i t="grand">
      <x/>
    </i>
  </rowItems>
  <colFields count="1">
    <field x="1"/>
  </colFields>
  <colItems count="6">
    <i>
      <x/>
    </i>
    <i>
      <x v="1"/>
    </i>
    <i>
      <x v="2"/>
    </i>
    <i>
      <x v="3"/>
    </i>
    <i>
      <x v="4"/>
    </i>
    <i>
      <x v="5"/>
    </i>
  </colItems>
  <dataFields count="1">
    <dataField name="Antal av Maten på min skola är bra, sett till näringsinnehåll, utseende, smak och klimat- och miljöperspektiv" fld="5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C5E943E8-3C0A-48E1-9DE7-CEF7744B0836}" name="Pivottabell28"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13:W12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2"/>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8">
    <i>
      <x/>
    </i>
    <i>
      <x v="1"/>
    </i>
    <i>
      <x v="2"/>
    </i>
    <i>
      <x v="3"/>
    </i>
    <i>
      <x v="4"/>
    </i>
    <i>
      <x v="5"/>
    </i>
    <i>
      <x v="6"/>
    </i>
    <i t="grand">
      <x/>
    </i>
  </rowItems>
  <colFields count="1">
    <field x="1"/>
  </colFields>
  <colItems count="6">
    <i>
      <x/>
    </i>
    <i>
      <x v="1"/>
    </i>
    <i>
      <x v="2"/>
    </i>
    <i>
      <x v="3"/>
    </i>
    <i>
      <x v="4"/>
    </i>
    <i>
      <x v="5"/>
    </i>
  </colItems>
  <dataFields count="1">
    <dataField name="Medel av Mina lärare vet vad jag ska lära mig" fld="3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C7CF6654-CFD7-42D1-A654-AFA09C3129D1}" name="Pivottabell8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328:W33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s>
  <rowFields count="1">
    <field x="54"/>
  </rowFields>
  <rowItems count="9">
    <i>
      <x/>
    </i>
    <i>
      <x v="1"/>
    </i>
    <i>
      <x v="2"/>
    </i>
    <i>
      <x v="3"/>
    </i>
    <i>
      <x v="4"/>
    </i>
    <i>
      <x v="5"/>
    </i>
    <i>
      <x v="6"/>
    </i>
    <i>
      <x v="7"/>
    </i>
    <i t="grand">
      <x/>
    </i>
  </rowItems>
  <colFields count="1">
    <field x="1"/>
  </colFields>
  <colItems count="6">
    <i>
      <x/>
    </i>
    <i>
      <x v="1"/>
    </i>
    <i>
      <x v="2"/>
    </i>
    <i>
      <x v="3"/>
    </i>
    <i>
      <x v="4"/>
    </i>
    <i>
      <x v="5"/>
    </i>
  </colItems>
  <dataFields count="1">
    <dataField name="Medel av Toaletterna är rena och fina" fld="5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9A48AFEE-6634-4CEC-95C8-BF773A04A51E}" name="Pivottabell6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57:O26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3"/>
        <item x="1"/>
        <item x="2"/>
        <item x="5"/>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9">
    <i>
      <x/>
    </i>
    <i>
      <x v="1"/>
    </i>
    <i>
      <x v="2"/>
    </i>
    <i>
      <x v="3"/>
    </i>
    <i>
      <x v="4"/>
    </i>
    <i>
      <x v="5"/>
    </i>
    <i>
      <x v="6"/>
    </i>
    <i>
      <x v="7"/>
    </i>
    <i t="grand">
      <x/>
    </i>
  </rowItems>
  <colFields count="1">
    <field x="1"/>
  </colFields>
  <colItems count="6">
    <i>
      <x/>
    </i>
    <i>
      <x v="1"/>
    </i>
    <i>
      <x v="2"/>
    </i>
    <i>
      <x v="3"/>
    </i>
    <i>
      <x v="4"/>
    </i>
    <i>
      <x v="5"/>
    </i>
  </colItems>
  <dataFields count="1">
    <dataField name="Antal av Det är lugnt i klassrummet " fld="4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800-000011000000}" name="Pivottabell12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164:U170"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5"/>
        <item x="3"/>
        <item x="0"/>
        <item h="1" x="4"/>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0"/>
  </rowFields>
  <rowItems count="5">
    <i>
      <x/>
    </i>
    <i>
      <x v="1"/>
    </i>
    <i>
      <x v="2"/>
    </i>
    <i>
      <x v="3"/>
    </i>
    <i t="grand">
      <x/>
    </i>
  </rowItems>
  <colFields count="1">
    <field x="1"/>
  </colFields>
  <colItems count="5">
    <i>
      <x v="2"/>
    </i>
    <i>
      <x v="3"/>
    </i>
    <i>
      <x v="4"/>
    </i>
    <i>
      <x v="5"/>
    </i>
    <i>
      <x v="6"/>
    </i>
  </colItems>
  <dataFields count="1">
    <dataField name="Medel av På lektionerna pratar vi om sådant som vi hört och läst" fld="40" subtotal="average" baseField="42" baseItem="0"/>
  </dataFields>
  <formats count="1">
    <format dxfId="13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82DEB1C9-C3AC-4951-B116-8A8747CE71CE}" name="Pivottabell41"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73:G18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2"/>
        <item x="1"/>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8">
    <i>
      <x/>
    </i>
    <i>
      <x v="1"/>
    </i>
    <i>
      <x v="2"/>
    </i>
    <i>
      <x v="3"/>
    </i>
    <i>
      <x v="4"/>
    </i>
    <i>
      <x v="5"/>
    </i>
    <i>
      <x v="6"/>
    </i>
    <i t="grand">
      <x/>
    </i>
  </rowItems>
  <colFields count="1">
    <field x="1"/>
  </colFields>
  <colItems count="6">
    <i>
      <x/>
    </i>
    <i>
      <x v="1"/>
    </i>
    <i>
      <x v="2"/>
    </i>
    <i>
      <x v="3"/>
    </i>
    <i>
      <x v="4"/>
    </i>
    <i>
      <x v="5"/>
    </i>
  </colItems>
  <dataFields count="1">
    <dataField name="Antal av I skolan pratar vi om att alla är lika mycket värda " fld="41" subtotal="count" baseField="0" baseItem="0"/>
  </dataFields>
  <formats count="4">
    <format dxfId="70">
      <pivotArea type="origin" dataOnly="0" labelOnly="1" outline="0" fieldPosition="0"/>
    </format>
    <format dxfId="69">
      <pivotArea field="41" type="button" dataOnly="0" labelOnly="1" outline="0" axis="axisRow" fieldPosition="0"/>
    </format>
    <format dxfId="68">
      <pivotArea dataOnly="0" labelOnly="1" fieldPosition="0">
        <references count="1">
          <reference field="41" count="0"/>
        </references>
      </pivotArea>
    </format>
    <format dxfId="6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24577853-B87E-4CE8-A349-339CD1825CF4}" name="Pivottabell1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65:G7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2"/>
        <item x="1"/>
        <item x="0"/>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9">
    <i>
      <x/>
    </i>
    <i>
      <x v="1"/>
    </i>
    <i>
      <x v="2"/>
    </i>
    <i>
      <x v="3"/>
    </i>
    <i>
      <x v="4"/>
    </i>
    <i>
      <x v="5"/>
    </i>
    <i>
      <x v="6"/>
    </i>
    <i>
      <x v="7"/>
    </i>
    <i t="grand">
      <x/>
    </i>
  </rowItems>
  <colFields count="1">
    <field x="1"/>
  </colFields>
  <colItems count="6">
    <i>
      <x/>
    </i>
    <i>
      <x v="1"/>
    </i>
    <i>
      <x v="2"/>
    </i>
    <i>
      <x v="3"/>
    </i>
    <i>
      <x v="4"/>
    </i>
    <i>
      <x v="5"/>
    </i>
  </colItems>
  <dataFields count="1">
    <dataField name="Antal av F24" fld="24" subtotal="count" baseField="0" baseItem="0"/>
  </dataFields>
  <formats count="4">
    <format dxfId="74">
      <pivotArea type="origin" dataOnly="0" labelOnly="1" outline="0" fieldPosition="0"/>
    </format>
    <format dxfId="73">
      <pivotArea field="24" type="button" dataOnly="0" labelOnly="1" outline="0" axis="axisRow" fieldPosition="0"/>
    </format>
    <format dxfId="72">
      <pivotArea dataOnly="0" labelOnly="1" fieldPosition="0">
        <references count="1">
          <reference field="24" count="0"/>
        </references>
      </pivotArea>
    </format>
    <format dxfId="7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9F73813C-2B38-4ED8-A07C-DA1F75E49A9C}" name="Pivottabell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9:W3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axis="axisRow" dataField="1" showAll="0">
      <items count="8">
        <item x="4"/>
        <item x="1"/>
        <item x="2"/>
        <item x="0"/>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8">
    <i>
      <x/>
    </i>
    <i>
      <x v="1"/>
    </i>
    <i>
      <x v="2"/>
    </i>
    <i>
      <x v="3"/>
    </i>
    <i>
      <x v="4"/>
    </i>
    <i>
      <x v="5"/>
    </i>
    <i>
      <x v="6"/>
    </i>
    <i t="grand">
      <x/>
    </i>
  </rowItems>
  <colFields count="1">
    <field x="1"/>
  </colFields>
  <colItems count="6">
    <i>
      <x/>
    </i>
    <i>
      <x v="1"/>
    </i>
    <i>
      <x v="2"/>
    </i>
    <i>
      <x v="3"/>
    </i>
    <i>
      <x v="4"/>
    </i>
    <i>
      <x v="5"/>
    </i>
  </colItems>
  <dataFields count="1">
    <dataField name="Medel av F9" fld="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9EFFACDB-E5F6-4ECB-8AFB-A96F87364919}" name="Pivottabell58"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33:W24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1"/>
        <item x="2"/>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8">
    <i>
      <x/>
    </i>
    <i>
      <x v="1"/>
    </i>
    <i>
      <x v="2"/>
    </i>
    <i>
      <x v="3"/>
    </i>
    <i>
      <x v="4"/>
    </i>
    <i>
      <x v="5"/>
    </i>
    <i>
      <x v="6"/>
    </i>
    <i t="grand">
      <x/>
    </i>
  </rowItems>
  <colFields count="1">
    <field x="1"/>
  </colFields>
  <colItems count="6">
    <i>
      <x/>
    </i>
    <i>
      <x v="1"/>
    </i>
    <i>
      <x v="2"/>
    </i>
    <i>
      <x v="3"/>
    </i>
    <i>
      <x v="4"/>
    </i>
    <i>
      <x v="5"/>
    </i>
  </colItems>
  <dataFields count="1">
    <dataField name="Medel av I min skola är eleverna med och bestämmer trivselregler" fld="4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6986D505-6AC6-43D1-85B5-7C46858370A4}" name="Pivottabell1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65:O7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2"/>
        <item x="5"/>
        <item x="1"/>
        <item x="0"/>
        <item x="3"/>
        <item x="4"/>
        <item x="6"/>
        <item x="7"/>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Fields count="1">
    <field x="1"/>
  </colFields>
  <colItems count="6">
    <i>
      <x/>
    </i>
    <i>
      <x v="1"/>
    </i>
    <i>
      <x v="2"/>
    </i>
    <i>
      <x v="3"/>
    </i>
    <i>
      <x v="4"/>
    </i>
    <i>
      <x v="5"/>
    </i>
  </colItems>
  <dataFields count="1">
    <dataField name="Antal av F24" fld="24" subtotal="count" showDataAs="percentOfCol" baseField="24"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A40AFECE-9282-412C-96F9-5F7162716833}" name="Pivottabell5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21:W23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1"/>
        <item x="2"/>
        <item x="3"/>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8">
    <i>
      <x/>
    </i>
    <i>
      <x v="1"/>
    </i>
    <i>
      <x v="2"/>
    </i>
    <i>
      <x v="3"/>
    </i>
    <i>
      <x v="4"/>
    </i>
    <i>
      <x v="5"/>
    </i>
    <i>
      <x v="6"/>
    </i>
    <i t="grand">
      <x/>
    </i>
  </rowItems>
  <colFields count="1">
    <field x="1"/>
  </colFields>
  <colItems count="6">
    <i>
      <x/>
    </i>
    <i>
      <x v="1"/>
    </i>
    <i>
      <x v="2"/>
    </i>
    <i>
      <x v="3"/>
    </i>
    <i>
      <x v="4"/>
    </i>
    <i>
      <x v="5"/>
    </i>
  </colItems>
  <dataFields count="1">
    <dataField name="Medel av Jag får vara med och välja vad vi ska göra på lektionerna2" fld="4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E5D3F114-97CB-44DA-8BAC-B85ED686FE32}" name="Pivottabell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7:O26"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axis="axisRow" dataField="1" showAll="0">
      <items count="8">
        <item x="2"/>
        <item x="1"/>
        <item x="0"/>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8">
    <i>
      <x/>
    </i>
    <i>
      <x v="1"/>
    </i>
    <i>
      <x v="2"/>
    </i>
    <i>
      <x v="3"/>
    </i>
    <i>
      <x v="4"/>
    </i>
    <i>
      <x v="5"/>
    </i>
    <i>
      <x v="6"/>
    </i>
    <i t="grand">
      <x/>
    </i>
  </rowItems>
  <colFields count="1">
    <field x="1"/>
  </colFields>
  <colItems count="6">
    <i>
      <x/>
    </i>
    <i>
      <x v="1"/>
    </i>
    <i>
      <x v="2"/>
    </i>
    <i>
      <x v="3"/>
    </i>
    <i>
      <x v="4"/>
    </i>
    <i>
      <x v="5"/>
    </i>
  </colItems>
  <dataFields count="1">
    <dataField name="Antal av F7" fld="7" subtotal="count" showDataAs="percentOfCol" baseField="0" baseItem="0" numFmtId="9"/>
  </dataFields>
  <formats count="1">
    <format dxfId="7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9DBC509B-790C-4742-9244-1B887A67C822}" name="Pivottabell6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69:G27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1"/>
        <item x="3"/>
        <item x="0"/>
        <item x="5"/>
        <item x="6"/>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8">
    <i>
      <x/>
    </i>
    <i>
      <x v="1"/>
    </i>
    <i>
      <x v="2"/>
    </i>
    <i>
      <x v="3"/>
    </i>
    <i>
      <x v="4"/>
    </i>
    <i>
      <x v="5"/>
    </i>
    <i>
      <x v="6"/>
    </i>
    <i t="grand">
      <x/>
    </i>
  </rowItems>
  <colFields count="1">
    <field x="1"/>
  </colFields>
  <colItems count="6">
    <i>
      <x/>
    </i>
    <i>
      <x v="1"/>
    </i>
    <i>
      <x v="2"/>
    </i>
    <i>
      <x v="3"/>
    </i>
    <i>
      <x v="4"/>
    </i>
    <i>
      <x v="5"/>
    </i>
  </colItems>
  <dataFields count="1">
    <dataField name="Antal av Jag vet vem på skolan jag kan prata med om någon varit elak " fld="49" subtotal="count" baseField="0" baseItem="0"/>
  </dataFields>
  <formats count="4">
    <format dxfId="79">
      <pivotArea type="origin" dataOnly="0" labelOnly="1" outline="0" fieldPosition="0"/>
    </format>
    <format dxfId="78">
      <pivotArea field="49" type="button" dataOnly="0" labelOnly="1" outline="0" axis="axisRow" fieldPosition="0"/>
    </format>
    <format dxfId="77">
      <pivotArea dataOnly="0" labelOnly="1" fieldPosition="0">
        <references count="1">
          <reference field="49" count="0"/>
        </references>
      </pivotArea>
    </format>
    <format dxfId="7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A9F1D9C3-FAD4-42C4-A78F-6ABF83B700B8}" name="Pivottabell8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340:W349"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1"/>
        <item x="2"/>
        <item x="0"/>
        <item x="6"/>
        <item t="default"/>
      </items>
    </pivotField>
    <pivotField showAll="0"/>
    <pivotField showAll="0"/>
    <pivotField showAll="0"/>
    <pivotField showAll="0"/>
  </pivotFields>
  <rowFields count="1">
    <field x="55"/>
  </rowFields>
  <rowItems count="8">
    <i>
      <x/>
    </i>
    <i>
      <x v="1"/>
    </i>
    <i>
      <x v="2"/>
    </i>
    <i>
      <x v="3"/>
    </i>
    <i>
      <x v="4"/>
    </i>
    <i>
      <x v="5"/>
    </i>
    <i>
      <x v="6"/>
    </i>
    <i t="grand">
      <x/>
    </i>
  </rowItems>
  <colFields count="1">
    <field x="1"/>
  </colFields>
  <colItems count="6">
    <i>
      <x/>
    </i>
    <i>
      <x v="1"/>
    </i>
    <i>
      <x v="2"/>
    </i>
    <i>
      <x v="3"/>
    </i>
    <i>
      <x v="4"/>
    </i>
    <i>
      <x v="5"/>
    </i>
  </colItems>
  <dataFields count="1">
    <dataField name="Medel av Jag får veta vad man kan göra efter studenten " fld="5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9.xml><?xml version="1.0" encoding="utf-8"?>
<pivotTableDefinition xmlns="http://schemas.openxmlformats.org/spreadsheetml/2006/main" xmlns:mc="http://schemas.openxmlformats.org/markup-compatibility/2006" xmlns:xr="http://schemas.microsoft.com/office/spreadsheetml/2014/revision" mc:Ignorable="xr" xr:uid="{F7DBE4DC-33CD-4761-AF69-B5789F0B8D62}" name="Pivottabell3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49:G15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3"/>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8">
    <i>
      <x/>
    </i>
    <i>
      <x v="1"/>
    </i>
    <i>
      <x v="2"/>
    </i>
    <i>
      <x v="3"/>
    </i>
    <i>
      <x v="4"/>
    </i>
    <i>
      <x v="5"/>
    </i>
    <i>
      <x v="6"/>
    </i>
    <i t="grand">
      <x/>
    </i>
  </rowItems>
  <colFields count="1">
    <field x="1"/>
  </colFields>
  <colItems count="6">
    <i>
      <x/>
    </i>
    <i>
      <x v="1"/>
    </i>
    <i>
      <x v="2"/>
    </i>
    <i>
      <x v="3"/>
    </i>
    <i>
      <x v="4"/>
    </i>
    <i>
      <x v="5"/>
    </i>
  </colItems>
  <dataFields count="1">
    <dataField name="Antal av Jag får lära mig på olika sätt exempelvis läsa, lyssna, se film, skriva" fld="39" subtotal="count" baseField="0" baseItem="0"/>
  </dataFields>
  <formats count="4">
    <format dxfId="83">
      <pivotArea type="origin" dataOnly="0" labelOnly="1" outline="0" fieldPosition="0"/>
    </format>
    <format dxfId="82">
      <pivotArea field="39" type="button" dataOnly="0" labelOnly="1" outline="0" axis="axisRow" fieldPosition="0"/>
    </format>
    <format dxfId="81">
      <pivotArea dataOnly="0" labelOnly="1" fieldPosition="0">
        <references count="1">
          <reference field="39" count="0"/>
        </references>
      </pivotArea>
    </format>
    <format dxfId="8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65E8D84C-7652-46DD-ABDC-72AED050CB4D}" name="Pivottabell1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354:C359"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showAll="0">
      <items count="4">
        <item x="2"/>
        <item x="1"/>
        <item x="0"/>
        <item t="default"/>
      </items>
    </pivotField>
    <pivotField showAll="0"/>
    <pivotField showAll="0"/>
  </pivotFields>
  <rowFields count="1">
    <field x="57"/>
  </rowFields>
  <rowItems count="4">
    <i>
      <x/>
    </i>
    <i>
      <x v="1"/>
    </i>
    <i>
      <x v="2"/>
    </i>
    <i t="grand">
      <x/>
    </i>
  </rowItems>
  <colFields count="1">
    <field x="1"/>
  </colFields>
  <colItems count="2">
    <i>
      <x v="5"/>
    </i>
    <i>
      <x v="6"/>
    </i>
  </colItems>
  <dataFields count="1">
    <dataField name="Antal av Har du någon regelbunden aktivitet på din fritid" fld="5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0.xml><?xml version="1.0" encoding="utf-8"?>
<pivotTableDefinition xmlns="http://schemas.openxmlformats.org/spreadsheetml/2006/main" xmlns:mc="http://schemas.openxmlformats.org/markup-compatibility/2006" xmlns:xr="http://schemas.microsoft.com/office/spreadsheetml/2014/revision" mc:Ignorable="xr" xr:uid="{3CD642EA-3F53-48B2-BDAF-15FD72B1787D}" name="Pivottabell59"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45:G25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2"/>
        <item x="1"/>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8">
    <i>
      <x/>
    </i>
    <i>
      <x v="1"/>
    </i>
    <i>
      <x v="2"/>
    </i>
    <i>
      <x v="3"/>
    </i>
    <i>
      <x v="4"/>
    </i>
    <i>
      <x v="5"/>
    </i>
    <i>
      <x v="6"/>
    </i>
    <i t="grand">
      <x/>
    </i>
  </rowItems>
  <colFields count="1">
    <field x="1"/>
  </colFields>
  <colItems count="6">
    <i>
      <x/>
    </i>
    <i>
      <x v="1"/>
    </i>
    <i>
      <x v="2"/>
    </i>
    <i>
      <x v="3"/>
    </i>
    <i>
      <x v="4"/>
    </i>
    <i>
      <x v="5"/>
    </i>
  </colItems>
  <dataFields count="1">
    <dataField name="Antal av Mina lärare säger ifrån om någon behandlas illa eller blir kränkt2" fld="47" subtotal="count" baseField="0" baseItem="0"/>
  </dataFields>
  <formats count="4">
    <format dxfId="87">
      <pivotArea type="origin" dataOnly="0" labelOnly="1" outline="0" fieldPosition="0"/>
    </format>
    <format dxfId="86">
      <pivotArea field="47" type="button" dataOnly="0" labelOnly="1" outline="0" axis="axisRow" fieldPosition="0"/>
    </format>
    <format dxfId="85">
      <pivotArea dataOnly="0" labelOnly="1" fieldPosition="0">
        <references count="1">
          <reference field="47" count="0"/>
        </references>
      </pivotArea>
    </format>
    <format dxfId="8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xml><?xml version="1.0" encoding="utf-8"?>
<pivotTableDefinition xmlns="http://schemas.openxmlformats.org/spreadsheetml/2006/main" xmlns:mc="http://schemas.openxmlformats.org/markup-compatibility/2006" xmlns:xr="http://schemas.microsoft.com/office/spreadsheetml/2014/revision" mc:Ignorable="xr" xr:uid="{58020AE8-5E2D-4F63-A119-F456D169F4F1}" name="Pivottabell1" cacheId="19" applyNumberFormats="0" applyBorderFormats="0" applyFontFormats="0" applyPatternFormats="0" applyAlignmentFormats="0" applyWidthHeightFormats="1" dataCaption="Värden" updatedVersion="6" minRefreshableVersion="3" itemPrintTitles="1" createdVersion="6" indent="0" multipleFieldFilters="0">
  <location ref="A4:A5" firstHeaderRow="1" firstDataRow="1" firstDataCol="0" rowPageCount="2" colPageCount="1"/>
  <pivotFields count="60">
    <pivotField showAll="0"/>
    <pivotField axis="axisPage" showAll="0">
      <items count="7">
        <item x="0"/>
        <item x="1"/>
        <item x="2"/>
        <item x="3"/>
        <item x="4"/>
        <item x="5"/>
        <item t="default"/>
      </items>
    </pivotField>
    <pivotField axis="axisPage" dataField="1" showAll="0">
      <items count="11">
        <item x="0"/>
        <item m="1" x="5"/>
        <item m="1" x="7"/>
        <item x="2"/>
        <item m="1" x="8"/>
        <item x="3"/>
        <item x="1"/>
        <item x="4"/>
        <item m="1" x="9"/>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item="5" hier="-1"/>
    <pageField fld="2" hier="-1"/>
  </pageFields>
  <dataFields count="1">
    <dataField name="Antal av F2" fld="2" subtotal="count" baseField="0" baseItem="0"/>
  </dataFields>
  <formats count="3">
    <format dxfId="90">
      <pivotArea type="all" dataOnly="0" outline="0" fieldPosition="0"/>
    </format>
    <format dxfId="89">
      <pivotArea outline="0" collapsedLevelsAreSubtotals="1" fieldPosition="0"/>
    </format>
    <format dxfId="8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2.xml><?xml version="1.0" encoding="utf-8"?>
<pivotTableDefinition xmlns="http://schemas.openxmlformats.org/spreadsheetml/2006/main" xmlns:mc="http://schemas.openxmlformats.org/markup-compatibility/2006" xmlns:xr="http://schemas.microsoft.com/office/spreadsheetml/2014/revision" mc:Ignorable="xr" xr:uid="{E73763A3-7B03-4321-A5B3-C1F61DA4E647}" name="Pivottabell7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304:G31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 showAll="0"/>
    <pivotField showAll="0"/>
  </pivotFields>
  <rowFields count="1">
    <field x="52"/>
  </rowFields>
  <rowItems count="9">
    <i>
      <x/>
    </i>
    <i>
      <x v="1"/>
    </i>
    <i>
      <x v="2"/>
    </i>
    <i>
      <x v="3"/>
    </i>
    <i>
      <x v="4"/>
    </i>
    <i>
      <x v="5"/>
    </i>
    <i>
      <x v="6"/>
    </i>
    <i>
      <x v="7"/>
    </i>
    <i t="grand">
      <x/>
    </i>
  </rowItems>
  <colFields count="1">
    <field x="1"/>
  </colFields>
  <colItems count="6">
    <i>
      <x/>
    </i>
    <i>
      <x v="1"/>
    </i>
    <i>
      <x v="2"/>
    </i>
    <i>
      <x v="3"/>
    </i>
    <i>
      <x v="4"/>
    </i>
    <i>
      <x v="5"/>
    </i>
  </colItems>
  <dataFields count="1">
    <dataField name="Antal av Skolrestaurangen har en miljö som är trivsam att vara i " fld="52" subtotal="count" baseField="0" baseItem="0"/>
  </dataFields>
  <formats count="4">
    <format dxfId="94">
      <pivotArea type="origin" dataOnly="0" labelOnly="1" outline="0" fieldPosition="0"/>
    </format>
    <format dxfId="93">
      <pivotArea field="52" type="button" dataOnly="0" labelOnly="1" outline="0" axis="axisRow" fieldPosition="0"/>
    </format>
    <format dxfId="92">
      <pivotArea dataOnly="0" labelOnly="1" fieldPosition="0">
        <references count="1">
          <reference field="52" count="0"/>
        </references>
      </pivotArea>
    </format>
    <format dxfId="9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3.xml><?xml version="1.0" encoding="utf-8"?>
<pivotTableDefinition xmlns="http://schemas.openxmlformats.org/spreadsheetml/2006/main" xmlns:mc="http://schemas.openxmlformats.org/markup-compatibility/2006" xmlns:xr="http://schemas.microsoft.com/office/spreadsheetml/2014/revision" mc:Ignorable="xr" xr:uid="{DC7BEBA0-7066-424E-91CC-09B70E84854F}" name="Pivottabell9"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41:O51"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2"/>
        <item x="3"/>
        <item x="0"/>
        <item x="1"/>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Fields count="1">
    <field x="1"/>
  </colFields>
  <colItems count="6">
    <i>
      <x/>
    </i>
    <i>
      <x v="1"/>
    </i>
    <i>
      <x v="2"/>
    </i>
    <i>
      <x v="3"/>
    </i>
    <i>
      <x v="4"/>
    </i>
    <i>
      <x v="5"/>
    </i>
  </colItems>
  <dataFields count="1">
    <dataField name="Antal av F22"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4.xml><?xml version="1.0" encoding="utf-8"?>
<pivotTableDefinition xmlns="http://schemas.openxmlformats.org/spreadsheetml/2006/main" xmlns:mc="http://schemas.openxmlformats.org/markup-compatibility/2006" xmlns:xr="http://schemas.microsoft.com/office/spreadsheetml/2014/revision" mc:Ignorable="xr" xr:uid="{8C4E32E9-F6FF-4F59-A81B-E9870F4C2736}" name="Pivottabell27"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13:O12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2"/>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8">
    <i>
      <x/>
    </i>
    <i>
      <x v="1"/>
    </i>
    <i>
      <x v="2"/>
    </i>
    <i>
      <x v="3"/>
    </i>
    <i>
      <x v="4"/>
    </i>
    <i>
      <x v="5"/>
    </i>
    <i>
      <x v="6"/>
    </i>
    <i t="grand">
      <x/>
    </i>
  </rowItems>
  <colFields count="1">
    <field x="1"/>
  </colFields>
  <colItems count="6">
    <i>
      <x/>
    </i>
    <i>
      <x v="1"/>
    </i>
    <i>
      <x v="2"/>
    </i>
    <i>
      <x v="3"/>
    </i>
    <i>
      <x v="4"/>
    </i>
    <i>
      <x v="5"/>
    </i>
  </colItems>
  <dataFields count="1">
    <dataField name="Antal av Mina lärare vet vad jag ska lära mig" fld="3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5.xml><?xml version="1.0" encoding="utf-8"?>
<pivotTableDefinition xmlns="http://schemas.openxmlformats.org/spreadsheetml/2006/main" xmlns:mc="http://schemas.openxmlformats.org/markup-compatibility/2006" xmlns:xr="http://schemas.microsoft.com/office/spreadsheetml/2014/revision" mc:Ignorable="xr" xr:uid="{2DC44D43-0A7F-44F6-8645-DE37EDCE1969}" name="Pivottabell40"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61:W17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2"/>
        <item x="5"/>
        <item x="3"/>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8">
    <i>
      <x/>
    </i>
    <i>
      <x v="1"/>
    </i>
    <i>
      <x v="2"/>
    </i>
    <i>
      <x v="3"/>
    </i>
    <i>
      <x v="4"/>
    </i>
    <i>
      <x v="5"/>
    </i>
    <i>
      <x v="6"/>
    </i>
    <i t="grand">
      <x/>
    </i>
  </rowItems>
  <colFields count="1">
    <field x="1"/>
  </colFields>
  <colItems count="6">
    <i>
      <x/>
    </i>
    <i>
      <x v="1"/>
    </i>
    <i>
      <x v="2"/>
    </i>
    <i>
      <x v="3"/>
    </i>
    <i>
      <x v="4"/>
    </i>
    <i>
      <x v="5"/>
    </i>
  </colItems>
  <dataFields count="1">
    <dataField name="Medel av På lektionerna pratar vi om sådant som vi hört och läst" fld="4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6.xml><?xml version="1.0" encoding="utf-8"?>
<pivotTableDefinition xmlns="http://schemas.openxmlformats.org/spreadsheetml/2006/main" xmlns:mc="http://schemas.openxmlformats.org/markup-compatibility/2006" xmlns:xr="http://schemas.microsoft.com/office/spreadsheetml/2014/revision" mc:Ignorable="xr" xr:uid="{1A240F80-9EA1-43FF-903B-0FAE874D8CD1}" name="Pivottabell78"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304:W31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 showAll="0"/>
    <pivotField showAll="0"/>
  </pivotFields>
  <rowFields count="1">
    <field x="52"/>
  </rowFields>
  <rowItems count="9">
    <i>
      <x/>
    </i>
    <i>
      <x v="1"/>
    </i>
    <i>
      <x v="2"/>
    </i>
    <i>
      <x v="3"/>
    </i>
    <i>
      <x v="4"/>
    </i>
    <i>
      <x v="5"/>
    </i>
    <i>
      <x v="6"/>
    </i>
    <i>
      <x v="7"/>
    </i>
    <i t="grand">
      <x/>
    </i>
  </rowItems>
  <colFields count="1">
    <field x="1"/>
  </colFields>
  <colItems count="6">
    <i>
      <x/>
    </i>
    <i>
      <x v="1"/>
    </i>
    <i>
      <x v="2"/>
    </i>
    <i>
      <x v="3"/>
    </i>
    <i>
      <x v="4"/>
    </i>
    <i>
      <x v="5"/>
    </i>
  </colItems>
  <dataFields count="1">
    <dataField name="Medel av Skolrestaurangen har en miljö som är trivsam att vara i " fld="5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7.xml><?xml version="1.0" encoding="utf-8"?>
<pivotTableDefinition xmlns="http://schemas.openxmlformats.org/spreadsheetml/2006/main" xmlns:mc="http://schemas.openxmlformats.org/markup-compatibility/2006" xmlns:xr="http://schemas.microsoft.com/office/spreadsheetml/2014/revision" mc:Ignorable="xr" xr:uid="{E1FF1530-4B16-4402-9B99-E5AC69887525}" name="Pivottabell80"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316:O32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1"/>
        <item x="4"/>
        <item x="2"/>
        <item x="3"/>
        <item x="0"/>
        <item x="6"/>
        <item t="default"/>
      </items>
    </pivotField>
    <pivotField showAll="0"/>
    <pivotField showAll="0"/>
    <pivotField showAll="0"/>
    <pivotField showAll="0"/>
    <pivotField showAll="0"/>
    <pivotField showAll="0"/>
  </pivotFields>
  <rowFields count="1">
    <field x="53"/>
  </rowFields>
  <rowItems count="8">
    <i>
      <x/>
    </i>
    <i>
      <x v="1"/>
    </i>
    <i>
      <x v="2"/>
    </i>
    <i>
      <x v="3"/>
    </i>
    <i>
      <x v="4"/>
    </i>
    <i>
      <x v="5"/>
    </i>
    <i>
      <x v="6"/>
    </i>
    <i t="grand">
      <x/>
    </i>
  </rowItems>
  <colFields count="1">
    <field x="1"/>
  </colFields>
  <colItems count="6">
    <i>
      <x/>
    </i>
    <i>
      <x v="1"/>
    </i>
    <i>
      <x v="2"/>
    </i>
    <i>
      <x v="3"/>
    </i>
    <i>
      <x v="4"/>
    </i>
    <i>
      <x v="5"/>
    </i>
  </colItems>
  <dataFields count="1">
    <dataField name="Antal av De som jobbar i skolrestaurangen är trevliga och serviceinriktade" fld="5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8.xml><?xml version="1.0" encoding="utf-8"?>
<pivotTableDefinition xmlns="http://schemas.openxmlformats.org/spreadsheetml/2006/main" xmlns:mc="http://schemas.openxmlformats.org/markup-compatibility/2006" xmlns:xr="http://schemas.microsoft.com/office/spreadsheetml/2014/revision" mc:Ignorable="xr" xr:uid="{F98FD288-DCC9-430F-B116-3515E0CD79D1}" name="Pivottabell50"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09:G21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2"/>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8">
    <i>
      <x/>
    </i>
    <i>
      <x v="1"/>
    </i>
    <i>
      <x v="2"/>
    </i>
    <i>
      <x v="3"/>
    </i>
    <i>
      <x v="4"/>
    </i>
    <i>
      <x v="5"/>
    </i>
    <i>
      <x v="6"/>
    </i>
    <i t="grand">
      <x/>
    </i>
  </rowItems>
  <colFields count="1">
    <field x="1"/>
  </colFields>
  <colItems count="6">
    <i>
      <x/>
    </i>
    <i>
      <x v="1"/>
    </i>
    <i>
      <x v="2"/>
    </i>
    <i>
      <x v="3"/>
    </i>
    <i>
      <x v="4"/>
    </i>
    <i>
      <x v="5"/>
    </i>
  </colItems>
  <dataFields count="1">
    <dataField name="Antal av I min skola är vi snälla och lyssnar på varandra" fld="44" subtotal="count" baseField="0" baseItem="0"/>
  </dataFields>
  <formats count="4">
    <format dxfId="98">
      <pivotArea type="origin" dataOnly="0" labelOnly="1" outline="0" fieldPosition="0"/>
    </format>
    <format dxfId="97">
      <pivotArea field="44" type="button" dataOnly="0" labelOnly="1" outline="0" axis="axisRow" fieldPosition="0"/>
    </format>
    <format dxfId="96">
      <pivotArea dataOnly="0" labelOnly="1" fieldPosition="0">
        <references count="1">
          <reference field="44" count="0"/>
        </references>
      </pivotArea>
    </format>
    <format dxfId="9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9.xml><?xml version="1.0" encoding="utf-8"?>
<pivotTableDefinition xmlns="http://schemas.openxmlformats.org/spreadsheetml/2006/main" xmlns:mc="http://schemas.openxmlformats.org/markup-compatibility/2006" xmlns:xr="http://schemas.microsoft.com/office/spreadsheetml/2014/revision" mc:Ignorable="xr" xr:uid="{65872400-F6ED-4610-87FE-45B80151734C}" name="Pivottabell4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173:W182"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2"/>
        <item x="1"/>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8">
    <i>
      <x/>
    </i>
    <i>
      <x v="1"/>
    </i>
    <i>
      <x v="2"/>
    </i>
    <i>
      <x v="3"/>
    </i>
    <i>
      <x v="4"/>
    </i>
    <i>
      <x v="5"/>
    </i>
    <i>
      <x v="6"/>
    </i>
    <i t="grand">
      <x/>
    </i>
  </rowItems>
  <colFields count="1">
    <field x="1"/>
  </colFields>
  <colItems count="6">
    <i>
      <x/>
    </i>
    <i>
      <x v="1"/>
    </i>
    <i>
      <x v="2"/>
    </i>
    <i>
      <x v="3"/>
    </i>
    <i>
      <x v="4"/>
    </i>
    <i>
      <x v="5"/>
    </i>
  </colItems>
  <dataFields count="1">
    <dataField name="Medel av I skolan pratar vi om att alla är lika mycket värda " fld="4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800-000021000000}" name="Pivottabell13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20:U226"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0"/>
        <item x="1"/>
        <item x="2"/>
        <item h="1" x="3"/>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5"/>
  </rowFields>
  <rowItems count="5">
    <i>
      <x/>
    </i>
    <i>
      <x v="1"/>
    </i>
    <i>
      <x v="2"/>
    </i>
    <i>
      <x v="3"/>
    </i>
    <i t="grand">
      <x/>
    </i>
  </rowItems>
  <colFields count="1">
    <field x="1"/>
  </colFields>
  <colItems count="5">
    <i>
      <x v="2"/>
    </i>
    <i>
      <x v="3"/>
    </i>
    <i>
      <x v="4"/>
    </i>
    <i>
      <x v="5"/>
    </i>
    <i>
      <x v="6"/>
    </i>
  </colItems>
  <dataFields count="1">
    <dataField name="Medel av Jag får vara med och välja vad vi ska göra på lektionerna2" fld="45" subtotal="average" baseField="5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0.xml><?xml version="1.0" encoding="utf-8"?>
<pivotTableDefinition xmlns="http://schemas.openxmlformats.org/spreadsheetml/2006/main" xmlns:mc="http://schemas.openxmlformats.org/markup-compatibility/2006" xmlns:xr="http://schemas.microsoft.com/office/spreadsheetml/2014/revision" mc:Ignorable="xr" xr:uid="{CE372639-C066-40B2-ABE0-B864E9AF13CD}" name="Pivottabell36"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49:O15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3"/>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8">
    <i>
      <x/>
    </i>
    <i>
      <x v="1"/>
    </i>
    <i>
      <x v="2"/>
    </i>
    <i>
      <x v="3"/>
    </i>
    <i>
      <x v="4"/>
    </i>
    <i>
      <x v="5"/>
    </i>
    <i>
      <x v="6"/>
    </i>
    <i t="grand">
      <x/>
    </i>
  </rowItems>
  <colFields count="1">
    <field x="1"/>
  </colFields>
  <colItems count="6">
    <i>
      <x/>
    </i>
    <i>
      <x v="1"/>
    </i>
    <i>
      <x v="2"/>
    </i>
    <i>
      <x v="3"/>
    </i>
    <i>
      <x v="4"/>
    </i>
    <i>
      <x v="5"/>
    </i>
  </colItems>
  <dataFields count="1">
    <dataField name="Antal av Jag får lära mig på olika sätt exempelvis läsa, lyssna, se film, skriva" fld="3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xml><?xml version="1.0" encoding="utf-8"?>
<pivotTableDefinition xmlns="http://schemas.openxmlformats.org/spreadsheetml/2006/main" xmlns:mc="http://schemas.openxmlformats.org/markup-compatibility/2006" xmlns:xr="http://schemas.microsoft.com/office/spreadsheetml/2014/revision" mc:Ignorable="xr" xr:uid="{59173EC2-2561-41EA-B578-15FC0233C442}" name="Pivottabell2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01:G11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1"/>
        <item x="4"/>
        <item x="2"/>
        <item x="0"/>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8">
    <i>
      <x/>
    </i>
    <i>
      <x v="1"/>
    </i>
    <i>
      <x v="2"/>
    </i>
    <i>
      <x v="3"/>
    </i>
    <i>
      <x v="4"/>
    </i>
    <i>
      <x v="5"/>
    </i>
    <i>
      <x v="6"/>
    </i>
    <i t="grand">
      <x/>
    </i>
  </rowItems>
  <colFields count="1">
    <field x="1"/>
  </colFields>
  <colItems count="6">
    <i>
      <x/>
    </i>
    <i>
      <x v="1"/>
    </i>
    <i>
      <x v="2"/>
    </i>
    <i>
      <x v="3"/>
    </i>
    <i>
      <x v="4"/>
    </i>
    <i>
      <x v="5"/>
    </i>
  </colItems>
  <dataFields count="1">
    <dataField name="Antal av F35" fld="35" subtotal="count" baseField="0" baseItem="0"/>
  </dataFields>
  <formats count="4">
    <format dxfId="102">
      <pivotArea type="origin" dataOnly="0" labelOnly="1" outline="0" fieldPosition="0"/>
    </format>
    <format dxfId="101">
      <pivotArea field="35" type="button" dataOnly="0" labelOnly="1" outline="0" axis="axisRow" fieldPosition="0"/>
    </format>
    <format dxfId="100">
      <pivotArea dataOnly="0" labelOnly="1" fieldPosition="0">
        <references count="1">
          <reference field="35" count="0"/>
        </references>
      </pivotArea>
    </format>
    <format dxfId="9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2.xml><?xml version="1.0" encoding="utf-8"?>
<pivotTableDefinition xmlns="http://schemas.openxmlformats.org/spreadsheetml/2006/main" xmlns:mc="http://schemas.openxmlformats.org/markup-compatibility/2006" xmlns:xr="http://schemas.microsoft.com/office/spreadsheetml/2014/revision" mc:Ignorable="xr" xr:uid="{91DF08E1-2E1C-4DD8-A861-20275BCE51A7}" name="Pivottabell30"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25:O134"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2"/>
        <item x="1"/>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8">
    <i>
      <x/>
    </i>
    <i>
      <x v="1"/>
    </i>
    <i>
      <x v="2"/>
    </i>
    <i>
      <x v="3"/>
    </i>
    <i>
      <x v="4"/>
    </i>
    <i>
      <x v="5"/>
    </i>
    <i>
      <x v="6"/>
    </i>
    <i t="grand">
      <x/>
    </i>
  </rowItems>
  <colFields count="1">
    <field x="1"/>
  </colFields>
  <colItems count="6">
    <i>
      <x/>
    </i>
    <i>
      <x v="1"/>
    </i>
    <i>
      <x v="2"/>
    </i>
    <i>
      <x v="3"/>
    </i>
    <i>
      <x v="4"/>
    </i>
    <i>
      <x v="5"/>
    </i>
  </colItems>
  <dataFields count="1">
    <dataField name="Antal av När jag vill lära mig mer får jag nya uppgifter" fld="3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3.xml><?xml version="1.0" encoding="utf-8"?>
<pivotTableDefinition xmlns="http://schemas.openxmlformats.org/spreadsheetml/2006/main" xmlns:mc="http://schemas.openxmlformats.org/markup-compatibility/2006" xmlns:xr="http://schemas.microsoft.com/office/spreadsheetml/2014/revision" mc:Ignorable="xr" xr:uid="{B4192058-3A60-4C4D-8937-F3B724E88B13}" name="Pivottabell10"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41:W51"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2"/>
        <item x="3"/>
        <item x="0"/>
        <item x="1"/>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Fields count="1">
    <field x="1"/>
  </colFields>
  <colItems count="6">
    <i>
      <x/>
    </i>
    <i>
      <x v="1"/>
    </i>
    <i>
      <x v="2"/>
    </i>
    <i>
      <x v="3"/>
    </i>
    <i>
      <x v="4"/>
    </i>
    <i>
      <x v="5"/>
    </i>
  </colItems>
  <dataFields count="1">
    <dataField name="Medel av F22" fld="2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4.xml><?xml version="1.0" encoding="utf-8"?>
<pivotTableDefinition xmlns="http://schemas.openxmlformats.org/spreadsheetml/2006/main" xmlns:mc="http://schemas.openxmlformats.org/markup-compatibility/2006" xmlns:xr="http://schemas.microsoft.com/office/spreadsheetml/2014/revision" mc:Ignorable="xr" xr:uid="{D32530E2-1EF8-4852-B48E-315A738163BC}" name="Pivottabell7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292:O301"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2"/>
        <item x="1"/>
        <item x="0"/>
        <item x="6"/>
        <item t="default"/>
      </items>
    </pivotField>
    <pivotField showAll="0"/>
    <pivotField showAll="0"/>
    <pivotField showAll="0"/>
    <pivotField showAll="0"/>
    <pivotField showAll="0"/>
    <pivotField showAll="0"/>
    <pivotField showAll="0"/>
    <pivotField showAll="0"/>
  </pivotFields>
  <rowFields count="1">
    <field x="51"/>
  </rowFields>
  <rowItems count="8">
    <i>
      <x/>
    </i>
    <i>
      <x v="1"/>
    </i>
    <i>
      <x v="2"/>
    </i>
    <i>
      <x v="3"/>
    </i>
    <i>
      <x v="4"/>
    </i>
    <i>
      <x v="5"/>
    </i>
    <i>
      <x v="6"/>
    </i>
    <i t="grand">
      <x/>
    </i>
  </rowItems>
  <colFields count="1">
    <field x="1"/>
  </colFields>
  <colItems count="6">
    <i>
      <x/>
    </i>
    <i>
      <x v="1"/>
    </i>
    <i>
      <x v="2"/>
    </i>
    <i>
      <x v="3"/>
    </i>
    <i>
      <x v="4"/>
    </i>
    <i>
      <x v="5"/>
    </i>
  </colItems>
  <dataFields count="1">
    <dataField name="Antal av Jag väljer att äta mig mätt i skolan" fld="5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5.xml><?xml version="1.0" encoding="utf-8"?>
<pivotTableDefinition xmlns="http://schemas.openxmlformats.org/spreadsheetml/2006/main" xmlns:mc="http://schemas.openxmlformats.org/markup-compatibility/2006" xmlns:xr="http://schemas.microsoft.com/office/spreadsheetml/2014/revision" mc:Ignorable="xr" xr:uid="{7B61A34F-DE81-4CCA-8002-9422CF07619C}" name="Pivottabell38"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61:G17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2"/>
        <item x="5"/>
        <item x="3"/>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8">
    <i>
      <x/>
    </i>
    <i>
      <x v="1"/>
    </i>
    <i>
      <x v="2"/>
    </i>
    <i>
      <x v="3"/>
    </i>
    <i>
      <x v="4"/>
    </i>
    <i>
      <x v="5"/>
    </i>
    <i>
      <x v="6"/>
    </i>
    <i t="grand">
      <x/>
    </i>
  </rowItems>
  <colFields count="1">
    <field x="1"/>
  </colFields>
  <colItems count="6">
    <i>
      <x/>
    </i>
    <i>
      <x v="1"/>
    </i>
    <i>
      <x v="2"/>
    </i>
    <i>
      <x v="3"/>
    </i>
    <i>
      <x v="4"/>
    </i>
    <i>
      <x v="5"/>
    </i>
  </colItems>
  <dataFields count="1">
    <dataField name="Antal av På lektionerna pratar vi om sådant som vi hört och läst" fld="40" subtotal="count" baseField="0" baseItem="0"/>
  </dataFields>
  <formats count="4">
    <format dxfId="106">
      <pivotArea type="origin" dataOnly="0" labelOnly="1" outline="0" fieldPosition="0"/>
    </format>
    <format dxfId="105">
      <pivotArea field="40" type="button" dataOnly="0" labelOnly="1" outline="0" axis="axisRow" fieldPosition="0"/>
    </format>
    <format dxfId="104">
      <pivotArea dataOnly="0" labelOnly="1" fieldPosition="0">
        <references count="1">
          <reference field="40" count="0"/>
        </references>
      </pivotArea>
    </format>
    <format dxfId="10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6.xml><?xml version="1.0" encoding="utf-8"?>
<pivotTableDefinition xmlns="http://schemas.openxmlformats.org/spreadsheetml/2006/main" xmlns:mc="http://schemas.openxmlformats.org/markup-compatibility/2006" xmlns:xr="http://schemas.microsoft.com/office/spreadsheetml/2014/revision" mc:Ignorable="xr" xr:uid="{31466640-24BF-4C98-AC70-1481A090EE99}" name="Pivottabell83"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328:O33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3"/>
        <item x="2"/>
        <item x="1"/>
        <item x="0"/>
        <item x="6"/>
        <item x="7"/>
        <item t="default"/>
      </items>
    </pivotField>
    <pivotField showAll="0"/>
    <pivotField showAll="0"/>
    <pivotField showAll="0"/>
    <pivotField showAll="0"/>
    <pivotField showAll="0"/>
  </pivotFields>
  <rowFields count="1">
    <field x="54"/>
  </rowFields>
  <rowItems count="9">
    <i>
      <x/>
    </i>
    <i>
      <x v="1"/>
    </i>
    <i>
      <x v="2"/>
    </i>
    <i>
      <x v="3"/>
    </i>
    <i>
      <x v="4"/>
    </i>
    <i>
      <x v="5"/>
    </i>
    <i>
      <x v="6"/>
    </i>
    <i>
      <x v="7"/>
    </i>
    <i t="grand">
      <x/>
    </i>
  </rowItems>
  <colFields count="1">
    <field x="1"/>
  </colFields>
  <colItems count="6">
    <i>
      <x/>
    </i>
    <i>
      <x v="1"/>
    </i>
    <i>
      <x v="2"/>
    </i>
    <i>
      <x v="3"/>
    </i>
    <i>
      <x v="4"/>
    </i>
    <i>
      <x v="5"/>
    </i>
  </colItems>
  <dataFields count="1">
    <dataField name="Antal av Toaletterna är rena och fina" fld="5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7.xml><?xml version="1.0" encoding="utf-8"?>
<pivotTableDefinition xmlns="http://schemas.openxmlformats.org/spreadsheetml/2006/main" xmlns:mc="http://schemas.openxmlformats.org/markup-compatibility/2006" xmlns:xr="http://schemas.microsoft.com/office/spreadsheetml/2014/revision" mc:Ignorable="xr" xr:uid="{147728C4-415D-42D3-8026-9069715BE324}" name="Pivottabell5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09:W218"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2"/>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8">
    <i>
      <x/>
    </i>
    <i>
      <x v="1"/>
    </i>
    <i>
      <x v="2"/>
    </i>
    <i>
      <x v="3"/>
    </i>
    <i>
      <x v="4"/>
    </i>
    <i>
      <x v="5"/>
    </i>
    <i>
      <x v="6"/>
    </i>
    <i t="grand">
      <x/>
    </i>
  </rowItems>
  <colFields count="1">
    <field x="1"/>
  </colFields>
  <colItems count="6">
    <i>
      <x/>
    </i>
    <i>
      <x v="1"/>
    </i>
    <i>
      <x v="2"/>
    </i>
    <i>
      <x v="3"/>
    </i>
    <i>
      <x v="4"/>
    </i>
    <i>
      <x v="5"/>
    </i>
  </colItems>
  <dataFields count="1">
    <dataField name="Medel av I min skola är vi snälla och lyssnar på varandra" fld="4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8.xml><?xml version="1.0" encoding="utf-8"?>
<pivotTableDefinition xmlns="http://schemas.openxmlformats.org/spreadsheetml/2006/main" xmlns:mc="http://schemas.openxmlformats.org/markup-compatibility/2006" xmlns:xr="http://schemas.microsoft.com/office/spreadsheetml/2014/revision" mc:Ignorable="xr" xr:uid="{4848D440-CDA2-4F8F-89A5-C75F06890945}" name="Pivottabell81"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316:W325"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1"/>
        <item x="4"/>
        <item x="2"/>
        <item x="3"/>
        <item x="0"/>
        <item x="6"/>
        <item t="default"/>
      </items>
    </pivotField>
    <pivotField showAll="0"/>
    <pivotField showAll="0"/>
    <pivotField showAll="0"/>
    <pivotField showAll="0"/>
    <pivotField showAll="0"/>
    <pivotField showAll="0"/>
  </pivotFields>
  <rowFields count="1">
    <field x="53"/>
  </rowFields>
  <rowItems count="8">
    <i>
      <x/>
    </i>
    <i>
      <x v="1"/>
    </i>
    <i>
      <x v="2"/>
    </i>
    <i>
      <x v="3"/>
    </i>
    <i>
      <x v="4"/>
    </i>
    <i>
      <x v="5"/>
    </i>
    <i>
      <x v="6"/>
    </i>
    <i t="grand">
      <x/>
    </i>
  </rowItems>
  <colFields count="1">
    <field x="1"/>
  </colFields>
  <colItems count="6">
    <i>
      <x/>
    </i>
    <i>
      <x v="1"/>
    </i>
    <i>
      <x v="2"/>
    </i>
    <i>
      <x v="3"/>
    </i>
    <i>
      <x v="4"/>
    </i>
    <i>
      <x v="5"/>
    </i>
  </colItems>
  <dataFields count="1">
    <dataField name="Medel av De som jobbar i skolrestaurangen är trevliga och serviceinriktade" fld="5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9.xml><?xml version="1.0" encoding="utf-8"?>
<pivotTableDefinition xmlns="http://schemas.openxmlformats.org/spreadsheetml/2006/main" xmlns:mc="http://schemas.openxmlformats.org/markup-compatibility/2006" xmlns:xr="http://schemas.microsoft.com/office/spreadsheetml/2014/revision" mc:Ignorable="xr" xr:uid="{74EAB3B4-1AF8-4737-953C-B4DC433F8868}" name="Pivottabell68"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280:G29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1"/>
        <item x="4"/>
        <item x="2"/>
        <item x="5"/>
        <item x="0"/>
        <item x="6"/>
        <item x="7"/>
        <item t="default"/>
      </items>
    </pivotField>
    <pivotField showAll="0"/>
    <pivotField showAll="0"/>
    <pivotField showAll="0"/>
    <pivotField showAll="0"/>
    <pivotField showAll="0"/>
    <pivotField showAll="0"/>
    <pivotField showAll="0"/>
    <pivotField showAll="0"/>
    <pivotField showAll="0"/>
  </pivotFields>
  <rowFields count="1">
    <field x="50"/>
  </rowFields>
  <rowItems count="9">
    <i>
      <x/>
    </i>
    <i>
      <x v="1"/>
    </i>
    <i>
      <x v="2"/>
    </i>
    <i>
      <x v="3"/>
    </i>
    <i>
      <x v="4"/>
    </i>
    <i>
      <x v="5"/>
    </i>
    <i>
      <x v="6"/>
    </i>
    <i>
      <x v="7"/>
    </i>
    <i t="grand">
      <x/>
    </i>
  </rowItems>
  <colFields count="1">
    <field x="1"/>
  </colFields>
  <colItems count="6">
    <i>
      <x/>
    </i>
    <i>
      <x v="1"/>
    </i>
    <i>
      <x v="2"/>
    </i>
    <i>
      <x v="3"/>
    </i>
    <i>
      <x v="4"/>
    </i>
    <i>
      <x v="5"/>
    </i>
  </colItems>
  <dataFields count="1">
    <dataField name="Antal av Maten på min skola är bra, sett till näringsinnehåll, utseende, smak och klimat- och miljöperspektiv" fld="50" subtotal="count" baseField="0" baseItem="0"/>
  </dataFields>
  <formats count="4">
    <format dxfId="110">
      <pivotArea type="origin" dataOnly="0" labelOnly="1" outline="0" fieldPosition="0"/>
    </format>
    <format dxfId="109">
      <pivotArea field="50" type="button" dataOnly="0" labelOnly="1" outline="0" axis="axisRow" fieldPosition="0"/>
    </format>
    <format dxfId="108">
      <pivotArea dataOnly="0" labelOnly="1" fieldPosition="0">
        <references count="1">
          <reference field="50" count="0"/>
        </references>
      </pivotArea>
    </format>
    <format dxfId="10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800-000014000000}" name="Pivottabell12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175:U181"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h="1" x="3"/>
        <item h="1" x="1"/>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1"/>
  </rowFields>
  <rowItems count="5">
    <i>
      <x/>
    </i>
    <i>
      <x v="1"/>
    </i>
    <i>
      <x v="2"/>
    </i>
    <i>
      <x v="5"/>
    </i>
    <i t="grand">
      <x/>
    </i>
  </rowItems>
  <colFields count="1">
    <field x="1"/>
  </colFields>
  <colItems count="5">
    <i>
      <x v="2"/>
    </i>
    <i>
      <x v="3"/>
    </i>
    <i>
      <x v="4"/>
    </i>
    <i>
      <x v="5"/>
    </i>
    <i>
      <x v="6"/>
    </i>
  </colItems>
  <dataFields count="1">
    <dataField name="Medel av I skolan pratar vi om att alla är lika mycket värda " fld="41" subtotal="average" baseField="43" baseItem="0"/>
  </dataFields>
  <formats count="1">
    <format dxfId="13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0.xml><?xml version="1.0" encoding="utf-8"?>
<pivotTableDefinition xmlns="http://schemas.openxmlformats.org/spreadsheetml/2006/main" xmlns:mc="http://schemas.openxmlformats.org/markup-compatibility/2006" xmlns:xr="http://schemas.microsoft.com/office/spreadsheetml/2014/revision" mc:Ignorable="xr" xr:uid="{D02261BE-4CDB-40A1-89E6-D632CF520F04}" name="Pivottabell85"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340:G349"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3"/>
        <item x="1"/>
        <item x="2"/>
        <item x="0"/>
        <item x="6"/>
        <item t="default"/>
      </items>
    </pivotField>
    <pivotField showAll="0"/>
    <pivotField showAll="0"/>
    <pivotField showAll="0"/>
    <pivotField showAll="0"/>
  </pivotFields>
  <rowFields count="1">
    <field x="55"/>
  </rowFields>
  <rowItems count="8">
    <i>
      <x/>
    </i>
    <i>
      <x v="1"/>
    </i>
    <i>
      <x v="2"/>
    </i>
    <i>
      <x v="3"/>
    </i>
    <i>
      <x v="4"/>
    </i>
    <i>
      <x v="5"/>
    </i>
    <i>
      <x v="6"/>
    </i>
    <i t="grand">
      <x/>
    </i>
  </rowItems>
  <colFields count="1">
    <field x="1"/>
  </colFields>
  <colItems count="6">
    <i>
      <x/>
    </i>
    <i>
      <x v="1"/>
    </i>
    <i>
      <x v="2"/>
    </i>
    <i>
      <x v="3"/>
    </i>
    <i>
      <x v="4"/>
    </i>
    <i>
      <x v="5"/>
    </i>
  </colItems>
  <dataFields count="1">
    <dataField name="Antal av Jag får veta vad man kan göra efter studenten " fld="55" subtotal="count" baseField="0" baseItem="0"/>
  </dataFields>
  <formats count="4">
    <format dxfId="114">
      <pivotArea type="origin" dataOnly="0" labelOnly="1" outline="0" fieldPosition="0"/>
    </format>
    <format dxfId="113">
      <pivotArea field="55" type="button" dataOnly="0" labelOnly="1" outline="0" axis="axisRow" fieldPosition="0"/>
    </format>
    <format dxfId="112">
      <pivotArea dataOnly="0" labelOnly="1" fieldPosition="0">
        <references count="1">
          <reference field="55" count="0"/>
        </references>
      </pivotArea>
    </format>
    <format dxfId="11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1.xml><?xml version="1.0" encoding="utf-8"?>
<pivotTableDefinition xmlns="http://schemas.openxmlformats.org/spreadsheetml/2006/main" xmlns:mc="http://schemas.openxmlformats.org/markup-compatibility/2006" xmlns:xr="http://schemas.microsoft.com/office/spreadsheetml/2014/revision" mc:Ignorable="xr" xr:uid="{AC34494E-A264-45F8-A2B1-697CC6182F4C}" name="Pivottabell2"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A17:G26"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axis="axisRow" dataField="1" showAll="0">
      <items count="8">
        <item x="2"/>
        <item x="1"/>
        <item x="0"/>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8">
    <i>
      <x/>
    </i>
    <i>
      <x v="1"/>
    </i>
    <i>
      <x v="2"/>
    </i>
    <i>
      <x v="3"/>
    </i>
    <i>
      <x v="4"/>
    </i>
    <i>
      <x v="5"/>
    </i>
    <i>
      <x v="6"/>
    </i>
    <i t="grand">
      <x/>
    </i>
  </rowItems>
  <colFields count="1">
    <field x="1"/>
  </colFields>
  <colItems count="6">
    <i>
      <x/>
    </i>
    <i>
      <x v="1"/>
    </i>
    <i>
      <x v="2"/>
    </i>
    <i>
      <x v="3"/>
    </i>
    <i>
      <x v="4"/>
    </i>
    <i>
      <x v="5"/>
    </i>
  </colItems>
  <dataFields count="1">
    <dataField name="Antal av F7" fld="7" subtotal="count" baseField="0" baseItem="0"/>
  </dataFields>
  <formats count="4">
    <format dxfId="118">
      <pivotArea type="origin" dataOnly="0" labelOnly="1" outline="0" fieldPosition="0"/>
    </format>
    <format dxfId="117">
      <pivotArea field="7" type="button" dataOnly="0" labelOnly="1" outline="0" axis="axisRow" fieldPosition="0"/>
    </format>
    <format dxfId="116">
      <pivotArea dataOnly="0" labelOnly="1" fieldPosition="0">
        <references count="1">
          <reference field="7" count="0"/>
        </references>
      </pivotArea>
    </format>
    <format dxfId="11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2.xml><?xml version="1.0" encoding="utf-8"?>
<pivotTableDefinition xmlns="http://schemas.openxmlformats.org/spreadsheetml/2006/main" xmlns:mc="http://schemas.openxmlformats.org/markup-compatibility/2006" xmlns:xr="http://schemas.microsoft.com/office/spreadsheetml/2014/revision" mc:Ignorable="xr" xr:uid="{D8670DE3-5855-4D71-A640-A3A325C459BB}" name="Pivottabell39"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161:O170"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2"/>
        <item x="5"/>
        <item x="3"/>
        <item x="1"/>
        <item x="4"/>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8">
    <i>
      <x/>
    </i>
    <i>
      <x v="1"/>
    </i>
    <i>
      <x v="2"/>
    </i>
    <i>
      <x v="3"/>
    </i>
    <i>
      <x v="4"/>
    </i>
    <i>
      <x v="5"/>
    </i>
    <i>
      <x v="6"/>
    </i>
    <i t="grand">
      <x/>
    </i>
  </rowItems>
  <colFields count="1">
    <field x="1"/>
  </colFields>
  <colItems count="6">
    <i>
      <x/>
    </i>
    <i>
      <x v="1"/>
    </i>
    <i>
      <x v="2"/>
    </i>
    <i>
      <x v="3"/>
    </i>
    <i>
      <x v="4"/>
    </i>
    <i>
      <x v="5"/>
    </i>
  </colItems>
  <dataFields count="1">
    <dataField name="Antal av På lektionerna pratar vi om sådant som vi hört och läst" fld="4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3.xml><?xml version="1.0" encoding="utf-8"?>
<pivotTableDefinition xmlns="http://schemas.openxmlformats.org/spreadsheetml/2006/main" xmlns:mc="http://schemas.openxmlformats.org/markup-compatibility/2006" xmlns:xr="http://schemas.microsoft.com/office/spreadsheetml/2014/revision" mc:Ignorable="xr" xr:uid="{0BC5E751-2E31-40E9-8524-5A7BC7408C19}" name="Pivottabell21"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I89:O99"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2"/>
        <item x="1"/>
        <item x="0"/>
        <item x="3"/>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9">
    <i>
      <x/>
    </i>
    <i>
      <x v="1"/>
    </i>
    <i>
      <x v="2"/>
    </i>
    <i>
      <x v="3"/>
    </i>
    <i>
      <x v="4"/>
    </i>
    <i>
      <x v="5"/>
    </i>
    <i>
      <x v="6"/>
    </i>
    <i>
      <x v="7"/>
    </i>
    <i t="grand">
      <x/>
    </i>
  </rowItems>
  <colFields count="1">
    <field x="1"/>
  </colFields>
  <colItems count="6">
    <i>
      <x/>
    </i>
    <i>
      <x v="1"/>
    </i>
    <i>
      <x v="2"/>
    </i>
    <i>
      <x v="3"/>
    </i>
    <i>
      <x v="4"/>
    </i>
    <i>
      <x v="5"/>
    </i>
  </colItems>
  <dataFields count="1">
    <dataField name="Antal av F34" fld="3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4.xml><?xml version="1.0" encoding="utf-8"?>
<pivotTableDefinition xmlns="http://schemas.openxmlformats.org/spreadsheetml/2006/main" xmlns:mc="http://schemas.openxmlformats.org/markup-compatibility/2006" xmlns:xr="http://schemas.microsoft.com/office/spreadsheetml/2014/revision" mc:Ignorable="xr" xr:uid="{086802AE-9386-4F0E-B286-15696F2DC44E}" name="Pivottabell19"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77:W8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5"/>
        <item x="1"/>
        <item x="0"/>
        <item x="3"/>
        <item x="2"/>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9">
    <i>
      <x/>
    </i>
    <i>
      <x v="1"/>
    </i>
    <i>
      <x v="2"/>
    </i>
    <i>
      <x v="3"/>
    </i>
    <i>
      <x v="4"/>
    </i>
    <i>
      <x v="5"/>
    </i>
    <i>
      <x v="6"/>
    </i>
    <i>
      <x v="7"/>
    </i>
    <i t="grand">
      <x/>
    </i>
  </rowItems>
  <colFields count="1">
    <field x="1"/>
  </colFields>
  <colItems count="6">
    <i>
      <x/>
    </i>
    <i>
      <x v="1"/>
    </i>
    <i>
      <x v="2"/>
    </i>
    <i>
      <x v="3"/>
    </i>
    <i>
      <x v="4"/>
    </i>
    <i>
      <x v="5"/>
    </i>
  </colItems>
  <dataFields count="1">
    <dataField name="Medel av F27" fld="2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5.xml><?xml version="1.0" encoding="utf-8"?>
<pivotTableDefinition xmlns="http://schemas.openxmlformats.org/spreadsheetml/2006/main" xmlns:mc="http://schemas.openxmlformats.org/markup-compatibility/2006" xmlns:xr="http://schemas.microsoft.com/office/spreadsheetml/2014/revision" mc:Ignorable="xr" xr:uid="{55110AF6-DD27-4805-9FFD-7815C862BD6F}" name="Pivottabell64" cacheId="19" applyNumberFormats="0" applyBorderFormats="0" applyFontFormats="0" applyPatternFormats="0" applyAlignmentFormats="0" applyWidthHeightFormats="1" dataCaption="Värden" updatedVersion="6" minRefreshableVersion="3" colGrandTotals="0" itemPrintTitles="1" createdVersion="6" indent="0" multipleFieldFilters="0">
  <location ref="Q257:W267" firstHeaderRow="1" firstDataRow="2" firstDataCol="1"/>
  <pivotFields count="60">
    <pivotField showAll="0"/>
    <pivotField axis="axisCol" showAll="0">
      <items count="7">
        <item x="0"/>
        <item x="1"/>
        <item x="2"/>
        <item x="3"/>
        <item x="4"/>
        <item x="5"/>
        <item t="default"/>
      </items>
    </pivotField>
    <pivotField showAll="0">
      <items count="11">
        <item m="1" x="9"/>
        <item x="0"/>
        <item m="1" x="5"/>
        <item m="1" x="7"/>
        <item x="1"/>
        <item x="2"/>
        <item m="1" x="8"/>
        <item x="4"/>
        <item x="3"/>
        <item m="1" x="6"/>
        <item t="default"/>
      </items>
    </pivotField>
    <pivotField showAll="0">
      <items count="8">
        <item m="1" x="6"/>
        <item m="1" x="5"/>
        <item m="1" x="4"/>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3"/>
        <item x="1"/>
        <item x="2"/>
        <item x="5"/>
        <item x="0"/>
        <item x="6"/>
        <item x="7"/>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9">
    <i>
      <x/>
    </i>
    <i>
      <x v="1"/>
    </i>
    <i>
      <x v="2"/>
    </i>
    <i>
      <x v="3"/>
    </i>
    <i>
      <x v="4"/>
    </i>
    <i>
      <x v="5"/>
    </i>
    <i>
      <x v="6"/>
    </i>
    <i>
      <x v="7"/>
    </i>
    <i t="grand">
      <x/>
    </i>
  </rowItems>
  <colFields count="1">
    <field x="1"/>
  </colFields>
  <colItems count="6">
    <i>
      <x/>
    </i>
    <i>
      <x v="1"/>
    </i>
    <i>
      <x v="2"/>
    </i>
    <i>
      <x v="3"/>
    </i>
    <i>
      <x v="4"/>
    </i>
    <i>
      <x v="5"/>
    </i>
  </colItems>
  <dataFields count="1">
    <dataField name="Medel av Det är lugnt i klassrummet " fld="4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800-00002D000000}" name="Pivottabell14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65:N27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3"/>
        <item x="1"/>
        <item x="4"/>
        <item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9"/>
  </rowFields>
  <rowItems count="7">
    <i>
      <x/>
    </i>
    <i>
      <x v="1"/>
    </i>
    <i>
      <x v="2"/>
    </i>
    <i>
      <x v="3"/>
    </i>
    <i>
      <x v="4"/>
    </i>
    <i>
      <x v="5"/>
    </i>
    <i t="grand">
      <x/>
    </i>
  </rowItems>
  <colFields count="1">
    <field x="1"/>
  </colFields>
  <colItems count="5">
    <i>
      <x v="2"/>
    </i>
    <i>
      <x v="3"/>
    </i>
    <i>
      <x v="4"/>
    </i>
    <i>
      <x v="5"/>
    </i>
    <i>
      <x v="6"/>
    </i>
  </colItems>
  <dataFields count="1">
    <dataField name="Antal av Jag vet vem på skolan jag kan prata med om någon varit elak " fld="49" subtotal="count" showDataAs="percentOfCol" baseField="0" baseItem="0" numFmtId="10"/>
  </dataFields>
  <formats count="2">
    <format dxfId="137">
      <pivotArea collapsedLevelsAreSubtotals="1" fieldPosition="0">
        <references count="2">
          <reference field="1" count="4" selected="0">
            <x v="2"/>
            <x v="3"/>
            <x v="4"/>
            <x v="5"/>
          </reference>
          <reference field="49" count="0"/>
        </references>
      </pivotArea>
    </format>
    <format dxfId="136">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ell11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64:F17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5"/>
        <item x="3"/>
        <item x="0"/>
        <item x="4"/>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0"/>
  </rowFields>
  <rowItems count="7">
    <i>
      <x/>
    </i>
    <i>
      <x v="1"/>
    </i>
    <i>
      <x v="2"/>
    </i>
    <i>
      <x v="3"/>
    </i>
    <i>
      <x v="4"/>
    </i>
    <i>
      <x v="5"/>
    </i>
    <i t="grand">
      <x/>
    </i>
  </rowItems>
  <colFields count="1">
    <field x="1"/>
  </colFields>
  <colItems count="5">
    <i>
      <x v="2"/>
    </i>
    <i>
      <x v="3"/>
    </i>
    <i>
      <x v="4"/>
    </i>
    <i>
      <x v="5"/>
    </i>
    <i>
      <x v="6"/>
    </i>
  </colItems>
  <dataFields count="1">
    <dataField name="Antal av På lektionerna pratar vi om sådant som vi hört och läst" fld="4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800-000039000000}" name="Pivottabell1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H32:M3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axis="axisRow" dataField="1">
      <items count="9">
        <item x="5"/>
        <item x="4"/>
        <item x="3"/>
        <item x="2"/>
        <item x="0"/>
        <item h="1" m="1" x="7"/>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9"/>
  </rowFields>
  <rowItems count="6">
    <i>
      <x/>
    </i>
    <i>
      <x v="1"/>
    </i>
    <i>
      <x v="2"/>
    </i>
    <i>
      <x v="3"/>
    </i>
    <i>
      <x v="4"/>
    </i>
    <i t="grand">
      <x/>
    </i>
  </rowItems>
  <colFields count="1">
    <field x="1"/>
  </colFields>
  <colItems count="5">
    <i>
      <x v="2"/>
    </i>
    <i>
      <x v="3"/>
    </i>
    <i>
      <x v="4"/>
    </i>
    <i>
      <x v="5"/>
    </i>
    <i>
      <x v="6"/>
    </i>
  </colItems>
  <dataFields count="1">
    <dataField name="Antal av F9" fld="9" subtotal="count" showDataAs="percentOfCol" baseField="10" baseItem="0" numFmtId="9"/>
  </dataFields>
  <formats count="2">
    <format dxfId="139">
      <pivotArea outline="0" fieldPosition="0">
        <references count="1">
          <reference field="4294967294" count="1">
            <x v="0"/>
          </reference>
        </references>
      </pivotArea>
    </format>
    <format dxfId="1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800-000033000000}" name="Pivottabell15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87:F29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2"/>
        <item x="1"/>
        <item x="0"/>
        <item x="5"/>
      </items>
    </pivotField>
    <pivotField showAll="0" defaultSubtotal="0"/>
    <pivotField showAll="0" defaultSubtotal="0"/>
    <pivotField showAll="0" defaultSubtotal="0"/>
    <pivotField showAll="0" defaultSubtotal="0"/>
    <pivotField showAll="0"/>
    <pivotField showAll="0"/>
    <pivotField showAll="0"/>
    <pivotField showAll="0"/>
  </pivotFields>
  <rowFields count="1">
    <field x="51"/>
  </rowFields>
  <rowItems count="7">
    <i>
      <x/>
    </i>
    <i>
      <x v="1"/>
    </i>
    <i>
      <x v="2"/>
    </i>
    <i>
      <x v="3"/>
    </i>
    <i>
      <x v="4"/>
    </i>
    <i>
      <x v="5"/>
    </i>
    <i t="grand">
      <x/>
    </i>
  </rowItems>
  <colFields count="1">
    <field x="1"/>
  </colFields>
  <colItems count="5">
    <i>
      <x v="2"/>
    </i>
    <i>
      <x v="3"/>
    </i>
    <i>
      <x v="4"/>
    </i>
    <i>
      <x v="5"/>
    </i>
    <i>
      <x v="6"/>
    </i>
  </colItems>
  <dataFields count="1">
    <dataField name="Antal av Jag väljer att äta mig mätt i skolan" fld="5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3EC34B9-19B0-4DDA-B564-D05151766634}" name="Pivottabell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344:R350"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3"/>
        <item x="2"/>
        <item x="1"/>
        <item x="0"/>
        <item t="default"/>
      </items>
    </pivotField>
    <pivotField showAll="0"/>
    <pivotField showAll="0"/>
    <pivotField showAll="0"/>
  </pivotFields>
  <rowFields count="1">
    <field x="56"/>
  </rowFields>
  <rowItems count="5">
    <i>
      <x/>
    </i>
    <i>
      <x v="1"/>
    </i>
    <i>
      <x v="2"/>
    </i>
    <i>
      <x v="3"/>
    </i>
    <i t="grand">
      <x/>
    </i>
  </rowItems>
  <colFields count="1">
    <field x="1"/>
  </colFields>
  <colItems count="2">
    <i>
      <x v="5"/>
    </i>
    <i>
      <x v="6"/>
    </i>
  </colItems>
  <dataFields count="1">
    <dataField name="Medel av Hur ofta brukar du vara med kompisar efter skolan och på helger" fld="56" subtotal="average" baseField="0" baseItem="0"/>
  </dataFields>
  <formats count="1">
    <format dxfId="1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800-000064000000}" name="Pivottabell4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H71:M7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9">
        <item x="2"/>
        <item x="4"/>
        <item x="1"/>
        <item x="0"/>
        <item x="5"/>
        <item h="1" m="1" x="7"/>
        <item h="1" m="1" x="6"/>
        <item h="1" x="3"/>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4"/>
  </rowFields>
  <rowItems count="6">
    <i>
      <x/>
    </i>
    <i>
      <x v="1"/>
    </i>
    <i>
      <x v="2"/>
    </i>
    <i>
      <x v="3"/>
    </i>
    <i>
      <x v="4"/>
    </i>
    <i t="grand">
      <x/>
    </i>
  </rowItems>
  <colFields count="1">
    <field x="1"/>
  </colFields>
  <colItems count="5">
    <i>
      <x v="2"/>
    </i>
    <i>
      <x v="3"/>
    </i>
    <i>
      <x v="4"/>
    </i>
    <i>
      <x v="5"/>
    </i>
    <i>
      <x v="6"/>
    </i>
  </colItems>
  <dataFields count="1">
    <dataField name="Antal av F24" fld="24" subtotal="count" showDataAs="percentOfCol" baseField="25" baseItem="4" numFmtId="9"/>
  </dataFields>
  <formats count="2">
    <format dxfId="142">
      <pivotArea outline="0" fieldPosition="0">
        <references count="1">
          <reference field="4294967294" count="1">
            <x v="0"/>
          </reference>
        </references>
      </pivotArea>
    </format>
    <format dxfId="1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800-00009A000000}" name="Pivottabell9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O108:T11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dataField="1" showAll="0" defaultSubtotal="0">
      <items count="9">
        <item x="3"/>
        <item x="5"/>
        <item x="4"/>
        <item x="2"/>
        <item h="1" x="0"/>
        <item h="1" m="1" x="8"/>
        <item h="1" m="1" x="6"/>
        <item h="1" x="1"/>
        <item h="1" m="1"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5"/>
  </rowFields>
  <rowItems count="5">
    <i>
      <x/>
    </i>
    <i>
      <x v="1"/>
    </i>
    <i>
      <x v="2"/>
    </i>
    <i>
      <x v="3"/>
    </i>
    <i t="grand">
      <x/>
    </i>
  </rowItems>
  <colFields count="1">
    <field x="1"/>
  </colFields>
  <colItems count="5">
    <i>
      <x v="2"/>
    </i>
    <i>
      <x v="3"/>
    </i>
    <i>
      <x v="4"/>
    </i>
    <i>
      <x v="5"/>
    </i>
    <i>
      <x v="6"/>
    </i>
  </colItems>
  <dataFields count="1">
    <dataField name="Medel av F35" fld="35" subtotal="average" baseField="36"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800-000036000000}" name="Pivottabell15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98:F306"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1"/>
        <item x="0"/>
        <item x="5"/>
        <item x="4"/>
      </items>
    </pivotField>
    <pivotField showAll="0" defaultSubtotal="0"/>
    <pivotField showAll="0" defaultSubtotal="0"/>
    <pivotField showAll="0" defaultSubtotal="0"/>
    <pivotField showAll="0"/>
    <pivotField showAll="0"/>
    <pivotField showAll="0"/>
    <pivotField showAll="0"/>
  </pivotFields>
  <rowFields count="1">
    <field x="52"/>
  </rowFields>
  <rowItems count="7">
    <i>
      <x/>
    </i>
    <i>
      <x v="1"/>
    </i>
    <i>
      <x v="2"/>
    </i>
    <i>
      <x v="3"/>
    </i>
    <i>
      <x v="4"/>
    </i>
    <i>
      <x v="5"/>
    </i>
    <i t="grand">
      <x/>
    </i>
  </rowItems>
  <colFields count="1">
    <field x="1"/>
  </colFields>
  <colItems count="5">
    <i>
      <x v="2"/>
    </i>
    <i>
      <x v="3"/>
    </i>
    <i>
      <x v="4"/>
    </i>
    <i>
      <x v="5"/>
    </i>
    <i>
      <x v="6"/>
    </i>
  </colItems>
  <dataFields count="1">
    <dataField name="Antal av Skolrestaurangen har en miljö som är trivsam att vara i " fld="5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800-000095000000}" name="Pivottabell9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H108:M11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dataField="1" showAll="0" defaultSubtotal="0">
      <items count="9">
        <item x="3"/>
        <item x="5"/>
        <item x="4"/>
        <item x="2"/>
        <item x="0"/>
        <item h="1" m="1" x="8"/>
        <item h="1" m="1" x="6"/>
        <item h="1" x="1"/>
        <item h="1" m="1"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5"/>
  </rowFields>
  <rowItems count="6">
    <i>
      <x/>
    </i>
    <i>
      <x v="1"/>
    </i>
    <i>
      <x v="2"/>
    </i>
    <i>
      <x v="3"/>
    </i>
    <i>
      <x v="4"/>
    </i>
    <i t="grand">
      <x/>
    </i>
  </rowItems>
  <colFields count="1">
    <field x="1"/>
  </colFields>
  <colItems count="5">
    <i>
      <x v="2"/>
    </i>
    <i>
      <x v="3"/>
    </i>
    <i>
      <x v="4"/>
    </i>
    <i>
      <x v="5"/>
    </i>
    <i>
      <x v="6"/>
    </i>
  </colItems>
  <dataFields count="1">
    <dataField name="Antal av F35" fld="35" subtotal="count" showDataAs="percentOfCol" baseField="36" baseItem="4" numFmtId="10"/>
  </dataFields>
  <formats count="2">
    <format dxfId="144">
      <pivotArea collapsedLevelsAreSubtotals="1" fieldPosition="0">
        <references count="1">
          <reference field="35" count="0"/>
        </references>
      </pivotArea>
    </format>
    <format dxfId="14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800-000079000000}" name="Pivottabell6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O45:T51"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x="1"/>
        <item x="4"/>
        <item x="2"/>
        <item h="1" x="5"/>
        <item h="1" m="1" x="8"/>
        <item h="1" x="3"/>
        <item h="1" m="1" x="7"/>
        <item h="1" m="1" x="6"/>
        <item t="default"/>
      </items>
    </pivotField>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2"/>
  </rowFields>
  <rowItems count="5">
    <i>
      <x/>
    </i>
    <i>
      <x v="1"/>
    </i>
    <i>
      <x v="2"/>
    </i>
    <i>
      <x v="3"/>
    </i>
    <i t="grand">
      <x/>
    </i>
  </rowItems>
  <colFields count="1">
    <field x="1"/>
  </colFields>
  <colItems count="5">
    <i>
      <x v="2"/>
    </i>
    <i>
      <x v="3"/>
    </i>
    <i>
      <x v="4"/>
    </i>
    <i>
      <x v="5"/>
    </i>
    <i>
      <x v="6"/>
    </i>
  </colItems>
  <dataFields count="1">
    <dataField name="Medel av F22" fld="22" subtotal="average" baseField="23" baseItem="2" numFmtId="2"/>
  </dataFields>
  <formats count="3">
    <format dxfId="147">
      <pivotArea outline="0" collapsedLevelsAreSubtotals="1" fieldPosition="0"/>
    </format>
    <format dxfId="146">
      <pivotArea field="1" type="button" dataOnly="0" labelOnly="1" outline="0" axis="axisCol" fieldPosition="0"/>
    </format>
    <format dxfId="145">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800-00003E000000}" name="Pivottabell16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320:N32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3"/>
        <item x="2"/>
        <item x="0"/>
        <item x="1"/>
        <item x="5"/>
      </items>
    </pivotField>
    <pivotField showAll="0" defaultSubtotal="0"/>
    <pivotField showAll="0"/>
    <pivotField showAll="0"/>
    <pivotField showAll="0"/>
    <pivotField showAll="0"/>
  </pivotFields>
  <rowFields count="1">
    <field x="54"/>
  </rowFields>
  <rowItems count="7">
    <i>
      <x/>
    </i>
    <i>
      <x v="1"/>
    </i>
    <i>
      <x v="2"/>
    </i>
    <i>
      <x v="3"/>
    </i>
    <i>
      <x v="4"/>
    </i>
    <i>
      <x v="5"/>
    </i>
    <i t="grand">
      <x/>
    </i>
  </rowItems>
  <colFields count="1">
    <field x="1"/>
  </colFields>
  <colItems count="5">
    <i>
      <x v="2"/>
    </i>
    <i>
      <x v="3"/>
    </i>
    <i>
      <x v="4"/>
    </i>
    <i>
      <x v="5"/>
    </i>
    <i>
      <x v="6"/>
    </i>
  </colItems>
  <dataFields count="1">
    <dataField name="Antal av Toaletterna är rena och fina" fld="54" subtotal="count" showDataAs="percentOfCol" baseField="0" baseItem="0" numFmtId="10"/>
  </dataFields>
  <formats count="2">
    <format dxfId="149">
      <pivotArea collapsedLevelsAreSubtotals="1" fieldPosition="0">
        <references count="1">
          <reference field="54" count="0"/>
        </references>
      </pivotArea>
    </format>
    <format dxfId="148">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800-000076000000}" name="Pivottabell6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O83:T8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0"/>
        <item x="2"/>
        <item h="1" x="3"/>
        <item h="1" m="1" x="7"/>
        <item h="1" x="1"/>
        <item h="1" m="1" x="6"/>
        <item t="default"/>
      </items>
    </pivotField>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7"/>
  </rowFields>
  <rowItems count="5">
    <i>
      <x/>
    </i>
    <i>
      <x v="1"/>
    </i>
    <i>
      <x v="2"/>
    </i>
    <i>
      <x v="3"/>
    </i>
    <i t="grand">
      <x/>
    </i>
  </rowItems>
  <colFields count="1">
    <field x="1"/>
  </colFields>
  <colItems count="5">
    <i>
      <x v="2"/>
    </i>
    <i>
      <x v="3"/>
    </i>
    <i>
      <x v="4"/>
    </i>
    <i>
      <x v="5"/>
    </i>
    <i>
      <x v="6"/>
    </i>
  </colItems>
  <dataFields count="1">
    <dataField name="Medel av F27" fld="27" subtotal="average" baseField="28" baseItem="0" numFmtId="2"/>
  </dataFields>
  <formats count="3">
    <format dxfId="152">
      <pivotArea outline="0" collapsedLevelsAreSubtotals="1" fieldPosition="0"/>
    </format>
    <format dxfId="151">
      <pivotArea field="1" type="button" dataOnly="0" labelOnly="1" outline="0" axis="axisCol" fieldPosition="0"/>
    </format>
    <format dxfId="150">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800-000068000000}" name="Pivottabell5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83:F90"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0"/>
        <item x="2"/>
        <item x="3"/>
        <item h="1" m="1" x="7"/>
        <item h="1" x="1"/>
        <item h="1" m="1" x="6"/>
        <item t="default"/>
      </items>
    </pivotField>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7"/>
  </rowFields>
  <rowItems count="6">
    <i>
      <x/>
    </i>
    <i>
      <x v="1"/>
    </i>
    <i>
      <x v="2"/>
    </i>
    <i>
      <x v="3"/>
    </i>
    <i>
      <x v="4"/>
    </i>
    <i t="grand">
      <x/>
    </i>
  </rowItems>
  <colFields count="1">
    <field x="1"/>
  </colFields>
  <colItems count="5">
    <i>
      <x v="2"/>
    </i>
    <i>
      <x v="3"/>
    </i>
    <i>
      <x v="4"/>
    </i>
    <i>
      <x v="5"/>
    </i>
    <i>
      <x v="6"/>
    </i>
  </colItems>
  <dataFields count="1">
    <dataField name="Antal av F27" fld="27" subtotal="count" baseField="28"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800-000022000000}" name="Pivottabell13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31:F23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5"/>
        <item x="0"/>
        <item x="2"/>
        <item x="3"/>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6"/>
  </rowFields>
  <rowItems count="7">
    <i>
      <x/>
    </i>
    <i>
      <x v="1"/>
    </i>
    <i>
      <x v="2"/>
    </i>
    <i>
      <x v="3"/>
    </i>
    <i>
      <x v="4"/>
    </i>
    <i>
      <x v="5"/>
    </i>
    <i t="grand">
      <x/>
    </i>
  </rowItems>
  <colFields count="1">
    <field x="1"/>
  </colFields>
  <colItems count="5">
    <i>
      <x v="2"/>
    </i>
    <i>
      <x v="3"/>
    </i>
    <i>
      <x v="4"/>
    </i>
    <i>
      <x v="5"/>
    </i>
    <i>
      <x v="6"/>
    </i>
  </colItems>
  <dataFields count="1">
    <dataField name="Antal av I min skola är eleverna med och bestämmer trivselregler" fld="4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55673D72-0C32-4B6A-AC7A-A9F21AD13C73}" name="Pivottabell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354:K359"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showAll="0">
      <items count="4">
        <item x="2"/>
        <item x="1"/>
        <item x="0"/>
        <item t="default"/>
      </items>
    </pivotField>
    <pivotField showAll="0"/>
    <pivotField showAll="0"/>
  </pivotFields>
  <rowFields count="1">
    <field x="57"/>
  </rowFields>
  <rowItems count="4">
    <i>
      <x/>
    </i>
    <i>
      <x v="1"/>
    </i>
    <i>
      <x v="2"/>
    </i>
    <i t="grand">
      <x/>
    </i>
  </rowItems>
  <colFields count="1">
    <field x="1"/>
  </colFields>
  <colItems count="2">
    <i>
      <x v="5"/>
    </i>
    <i>
      <x v="6"/>
    </i>
  </colItems>
  <dataFields count="1">
    <dataField name="Antal av Har du någon regelbunden aktivitet på din fritid" fld="57" subtotal="count" showDataAs="percentOfCol" baseField="0" baseItem="0" numFmtId="10"/>
  </dataFields>
  <formats count="5">
    <format dxfId="157">
      <pivotArea grandRow="1" outline="0" collapsedLevelsAreSubtotals="1" fieldPosition="0"/>
    </format>
    <format dxfId="156">
      <pivotArea outline="0" collapsedLevelsAreSubtotals="1" fieldPosition="0"/>
    </format>
    <format dxfId="155">
      <pivotArea outline="0" fieldPosition="0">
        <references count="1">
          <reference field="4294967294" count="1">
            <x v="0"/>
          </reference>
        </references>
      </pivotArea>
    </format>
    <format dxfId="154">
      <pivotArea outline="0" collapsedLevelsAreSubtotals="1" fieldPosition="0">
        <references count="1">
          <reference field="1" count="1" selected="0">
            <x v="5"/>
          </reference>
        </references>
      </pivotArea>
    </format>
    <format dxfId="153">
      <pivotArea outline="0" collapsedLevelsAreSubtotals="1" fieldPosition="0">
        <references count="1">
          <reference field="1" count="1" selected="0">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800-000042000000}" name="Pivottabell16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332:U33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3"/>
        <item x="0"/>
        <item h="1" x="2"/>
        <item h="1" x="6"/>
        <item h="1" x="1"/>
      </items>
    </pivotField>
    <pivotField showAll="0"/>
    <pivotField showAll="0"/>
    <pivotField showAll="0"/>
    <pivotField showAll="0"/>
  </pivotFields>
  <rowFields count="1">
    <field x="55"/>
  </rowFields>
  <rowItems count="5">
    <i>
      <x/>
    </i>
    <i>
      <x v="1"/>
    </i>
    <i>
      <x v="2"/>
    </i>
    <i>
      <x v="3"/>
    </i>
    <i t="grand">
      <x/>
    </i>
  </rowItems>
  <colFields count="1">
    <field x="1"/>
  </colFields>
  <colItems count="5">
    <i>
      <x v="2"/>
    </i>
    <i>
      <x v="3"/>
    </i>
    <i>
      <x v="4"/>
    </i>
    <i>
      <x v="5"/>
    </i>
    <i>
      <x v="6"/>
    </i>
  </colItems>
  <dataFields count="1">
    <dataField name="Medel av Jag får veta vad man kan göra efter studenten " fld="55" subtotal="average" baseField="0" baseItem="0"/>
  </dataFields>
  <formats count="1">
    <format dxfId="15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800-00002C000000}" name="Pivottabell14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65:F27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3"/>
        <item x="1"/>
        <item x="4"/>
        <item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9"/>
  </rowFields>
  <rowItems count="7">
    <i>
      <x/>
    </i>
    <i>
      <x v="1"/>
    </i>
    <i>
      <x v="2"/>
    </i>
    <i>
      <x v="3"/>
    </i>
    <i>
      <x v="4"/>
    </i>
    <i>
      <x v="5"/>
    </i>
    <i t="grand">
      <x/>
    </i>
  </rowItems>
  <colFields count="1">
    <field x="1"/>
  </colFields>
  <colItems count="5">
    <i>
      <x v="2"/>
    </i>
    <i>
      <x v="3"/>
    </i>
    <i>
      <x v="4"/>
    </i>
    <i>
      <x v="5"/>
    </i>
    <i>
      <x v="6"/>
    </i>
  </colItems>
  <dataFields count="1">
    <dataField name="Antal av Jag vet vem på skolan jag kan prata med om någon varit elak " fld="4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D61E82F5-A916-4331-94ED-FBEA72F67675}" name="Pivottabell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354:R359"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showAll="0">
      <items count="4">
        <item x="2"/>
        <item x="1"/>
        <item x="0"/>
        <item t="default"/>
      </items>
    </pivotField>
    <pivotField showAll="0"/>
    <pivotField showAll="0"/>
  </pivotFields>
  <rowFields count="1">
    <field x="57"/>
  </rowFields>
  <rowItems count="4">
    <i>
      <x/>
    </i>
    <i>
      <x v="1"/>
    </i>
    <i>
      <x v="2"/>
    </i>
    <i t="grand">
      <x/>
    </i>
  </rowItems>
  <colFields count="1">
    <field x="1"/>
  </colFields>
  <colItems count="2">
    <i>
      <x v="5"/>
    </i>
    <i>
      <x v="6"/>
    </i>
  </colItems>
  <dataFields count="1">
    <dataField name="Medel av Har du någon regelbunden aktivitet på din fritid" fld="57" subtotal="average" baseField="0" baseItem="0"/>
  </dataFields>
  <formats count="1">
    <format dxfId="15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A02DFB28-843B-42F4-A00A-F44533464FE4}" name="Pivottabell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344:K350"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3"/>
        <item x="2"/>
        <item x="1"/>
        <item x="0"/>
        <item t="default"/>
      </items>
    </pivotField>
    <pivotField showAll="0"/>
    <pivotField showAll="0"/>
    <pivotField showAll="0"/>
  </pivotFields>
  <rowFields count="1">
    <field x="56"/>
  </rowFields>
  <rowItems count="5">
    <i>
      <x/>
    </i>
    <i>
      <x v="1"/>
    </i>
    <i>
      <x v="2"/>
    </i>
    <i>
      <x v="3"/>
    </i>
    <i t="grand">
      <x/>
    </i>
  </rowItems>
  <colFields count="1">
    <field x="1"/>
  </colFields>
  <colItems count="2">
    <i>
      <x v="5"/>
    </i>
    <i>
      <x v="6"/>
    </i>
  </colItems>
  <dataFields count="1">
    <dataField name="Antal av Hur ofta brukar du vara med kompisar efter skolan och på helger" fld="56" subtotal="count" showDataAs="percentOfCol" baseField="1" baseItem="2" numFmtId="9"/>
  </dataFields>
  <formats count="3">
    <format dxfId="162">
      <pivotArea grandRow="1" outline="0" collapsedLevelsAreSubtotals="1" fieldPosition="0"/>
    </format>
    <format dxfId="161">
      <pivotArea outline="0" fieldPosition="0">
        <references count="1">
          <reference field="4294967294" count="1">
            <x v="0"/>
          </reference>
        </references>
      </pivotArea>
    </format>
    <format dxfId="1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0000000-0007-0000-0800-000046000000}" name="Pivottabell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119:N126"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axis="axisRow" dataField="1" showAll="0" defaultSubtotal="0">
      <items count="8">
        <item x="3"/>
        <item x="5"/>
        <item x="2"/>
        <item x="0"/>
        <item h="1" m="1" x="7"/>
        <item h="1" m="1" x="6"/>
        <item h="1" x="1"/>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6"/>
  </rowFields>
  <rowItems count="6">
    <i>
      <x/>
    </i>
    <i>
      <x v="1"/>
    </i>
    <i>
      <x v="2"/>
    </i>
    <i>
      <x v="3"/>
    </i>
    <i>
      <x v="7"/>
    </i>
    <i t="grand">
      <x/>
    </i>
  </rowItems>
  <colFields count="1">
    <field x="1"/>
  </colFields>
  <colItems count="5">
    <i>
      <x v="2"/>
    </i>
    <i>
      <x v="3"/>
    </i>
    <i>
      <x v="4"/>
    </i>
    <i>
      <x v="5"/>
    </i>
    <i>
      <x v="6"/>
    </i>
  </colItems>
  <dataFields count="1">
    <dataField name="Antal av Mina lärare vet vad jag ska lära mig" fld="36" subtotal="count" showDataAs="percentOfCol" baseField="0" baseItem="0" numFmtId="10"/>
  </dataFields>
  <formats count="2">
    <format dxfId="164">
      <pivotArea collapsedLevelsAreSubtotals="1" fieldPosition="0">
        <references count="1">
          <reference field="36" count="0"/>
        </references>
      </pivotArea>
    </format>
    <format dxfId="16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800-00003B000000}" name="Pivottabell16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309:N317"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0"/>
        <item x="3"/>
        <item x="1"/>
        <item x="2"/>
        <item x="5"/>
      </items>
    </pivotField>
    <pivotField showAll="0" defaultSubtotal="0"/>
    <pivotField showAll="0" defaultSubtotal="0"/>
    <pivotField showAll="0"/>
    <pivotField showAll="0"/>
    <pivotField showAll="0"/>
    <pivotField showAll="0"/>
  </pivotFields>
  <rowFields count="1">
    <field x="53"/>
  </rowFields>
  <rowItems count="7">
    <i>
      <x/>
    </i>
    <i>
      <x v="1"/>
    </i>
    <i>
      <x v="2"/>
    </i>
    <i>
      <x v="3"/>
    </i>
    <i>
      <x v="4"/>
    </i>
    <i>
      <x v="5"/>
    </i>
    <i t="grand">
      <x/>
    </i>
  </rowItems>
  <colFields count="1">
    <field x="1"/>
  </colFields>
  <colItems count="5">
    <i>
      <x v="2"/>
    </i>
    <i>
      <x v="3"/>
    </i>
    <i>
      <x v="4"/>
    </i>
    <i>
      <x v="5"/>
    </i>
    <i>
      <x v="6"/>
    </i>
  </colItems>
  <dataFields count="1">
    <dataField name="Antal av De som jobbar i skolrestaurangen är trevliga och serviceinriktade" fld="53" subtotal="count" showDataAs="percentOfCol" baseField="0" baseItem="0" numFmtId="10"/>
  </dataFields>
  <formats count="2">
    <format dxfId="166">
      <pivotArea collapsedLevelsAreSubtotals="1" fieldPosition="0">
        <references count="1">
          <reference field="53" count="5">
            <x v="0"/>
            <x v="1"/>
            <x v="2"/>
            <x v="3"/>
            <x v="4"/>
          </reference>
        </references>
      </pivotArea>
    </format>
    <format dxfId="165">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800-000027000000}" name="Pivottabell14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43:N251"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x="3"/>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7"/>
  </rowFields>
  <rowItems count="7">
    <i>
      <x/>
    </i>
    <i>
      <x v="1"/>
    </i>
    <i>
      <x v="2"/>
    </i>
    <i>
      <x v="3"/>
    </i>
    <i>
      <x v="4"/>
    </i>
    <i>
      <x v="5"/>
    </i>
    <i t="grand">
      <x/>
    </i>
  </rowItems>
  <colFields count="1">
    <field x="1"/>
  </colFields>
  <colItems count="5">
    <i>
      <x v="2"/>
    </i>
    <i>
      <x v="3"/>
    </i>
    <i>
      <x v="4"/>
    </i>
    <i>
      <x v="5"/>
    </i>
    <i>
      <x v="6"/>
    </i>
  </colItems>
  <dataFields count="1">
    <dataField name="Antal av Mina lärare säger ifrån om någon behandlas illa eller blir kränkt2" fld="47" subtotal="count" showDataAs="percentOfCol" baseField="0" baseItem="0" numFmtId="10"/>
  </dataFields>
  <formats count="2">
    <format dxfId="168">
      <pivotArea collapsedLevelsAreSubtotals="1" fieldPosition="0">
        <references count="2">
          <reference field="1" count="4" selected="0">
            <x v="2"/>
            <x v="3"/>
            <x v="4"/>
            <x v="5"/>
          </reference>
          <reference field="47" count="0"/>
        </references>
      </pivotArea>
    </format>
    <format dxfId="167">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800-000008000000}" name="Pivottabell11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42:F150"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1"/>
        <item x="0"/>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8"/>
  </rowFields>
  <rowItems count="7">
    <i>
      <x/>
    </i>
    <i>
      <x v="1"/>
    </i>
    <i>
      <x v="2"/>
    </i>
    <i>
      <x v="3"/>
    </i>
    <i>
      <x v="4"/>
    </i>
    <i>
      <x v="5"/>
    </i>
    <i t="grand">
      <x/>
    </i>
  </rowItems>
  <colFields count="1">
    <field x="1"/>
  </colFields>
  <colItems count="5">
    <i>
      <x v="2"/>
    </i>
    <i>
      <x v="3"/>
    </i>
    <i>
      <x v="4"/>
    </i>
    <i>
      <x v="5"/>
    </i>
    <i>
      <x v="6"/>
    </i>
  </colItems>
  <dataFields count="1">
    <dataField name="Antal av Jag känner att jag lyckas i skolan"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800-000037000000}" name="Pivottabell15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98:N30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1"/>
        <item x="0"/>
        <item h="1" x="5"/>
        <item h="1" x="4"/>
      </items>
    </pivotField>
    <pivotField showAll="0" defaultSubtotal="0"/>
    <pivotField showAll="0" defaultSubtotal="0"/>
    <pivotField showAll="0" defaultSubtotal="0"/>
    <pivotField showAll="0"/>
    <pivotField showAll="0"/>
    <pivotField showAll="0"/>
    <pivotField showAll="0"/>
  </pivotFields>
  <rowFields count="1">
    <field x="52"/>
  </rowFields>
  <rowItems count="5">
    <i>
      <x/>
    </i>
    <i>
      <x v="1"/>
    </i>
    <i>
      <x v="2"/>
    </i>
    <i>
      <x v="3"/>
    </i>
    <i t="grand">
      <x/>
    </i>
  </rowItems>
  <colFields count="1">
    <field x="1"/>
  </colFields>
  <colItems count="5">
    <i>
      <x v="2"/>
    </i>
    <i>
      <x v="3"/>
    </i>
    <i>
      <x v="4"/>
    </i>
    <i>
      <x v="5"/>
    </i>
    <i>
      <x v="6"/>
    </i>
  </colItems>
  <dataFields count="1">
    <dataField name="Antal av Skolrestaurangen har en miljö som är trivsam att vara i " fld="52" subtotal="count" showDataAs="percentOfCol" baseField="0" baseItem="0" numFmtId="10"/>
  </dataFields>
  <formats count="2">
    <format dxfId="120">
      <pivotArea collapsedLevelsAreSubtotals="1" fieldPosition="0">
        <references count="1">
          <reference field="52" count="0"/>
        </references>
      </pivotArea>
    </format>
    <format dxfId="11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C3CF5F1E-DCF9-4E57-ADED-536BD5C68022}" name="Pivottabell1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372:K378"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items count="4">
        <item x="2"/>
        <item x="1"/>
        <item x="0"/>
        <item t="default"/>
      </items>
    </pivotField>
    <pivotField showAll="0"/>
    <pivotField axis="axisRow" dataField="1" showAll="0">
      <items count="5">
        <item x="2"/>
        <item x="1"/>
        <item x="3"/>
        <item x="0"/>
        <item t="default"/>
      </items>
    </pivotField>
  </pivotFields>
  <rowFields count="1">
    <field x="59"/>
  </rowFields>
  <rowItems count="5">
    <i>
      <x/>
    </i>
    <i>
      <x v="1"/>
    </i>
    <i>
      <x v="2"/>
    </i>
    <i>
      <x v="3"/>
    </i>
    <i t="grand">
      <x/>
    </i>
  </rowItems>
  <colFields count="1">
    <field x="1"/>
  </colFields>
  <colItems count="2">
    <i>
      <x v="5"/>
    </i>
    <i>
      <x v="6"/>
    </i>
  </colItems>
  <dataFields count="1">
    <dataField name="Antal av Hur ser du på din framtid" fld="59" subtotal="count" showDataAs="percentOfCol" baseField="0" baseItem="0" numFmtId="9"/>
  </dataFields>
  <formats count="5">
    <format dxfId="173">
      <pivotArea grandRow="1" outline="0" collapsedLevelsAreSubtotals="1" fieldPosition="0"/>
    </format>
    <format dxfId="172">
      <pivotArea outline="0" collapsedLevelsAreSubtotals="1" fieldPosition="0">
        <references count="1">
          <reference field="1" count="1" selected="0">
            <x v="5"/>
          </reference>
        </references>
      </pivotArea>
    </format>
    <format dxfId="171">
      <pivotArea outline="0" collapsedLevelsAreSubtotals="1" fieldPosition="0">
        <references count="1">
          <reference field="1" count="1" selected="0">
            <x v="6"/>
          </reference>
        </references>
      </pivotArea>
    </format>
    <format dxfId="170">
      <pivotArea outline="0" fieldPosition="0">
        <references count="1">
          <reference field="4294967294" count="1">
            <x v="0"/>
          </reference>
        </references>
      </pivotArea>
    </format>
    <format dxfId="16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00000000-0007-0000-0800-00005F000000}" name="Pivottabell4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58:F6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0"/>
        <item x="4"/>
        <item x="3"/>
        <item x="1"/>
        <item x="2"/>
        <item h="1" x="5"/>
        <item h="1" m="1" x="7"/>
        <item h="1" x="6"/>
        <item t="default"/>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3"/>
  </rowFields>
  <rowItems count="6">
    <i>
      <x/>
    </i>
    <i>
      <x v="1"/>
    </i>
    <i>
      <x v="2"/>
    </i>
    <i>
      <x v="3"/>
    </i>
    <i>
      <x v="4"/>
    </i>
    <i t="grand">
      <x/>
    </i>
  </rowItems>
  <colFields count="1">
    <field x="1"/>
  </colFields>
  <colItems count="5">
    <i>
      <x v="2"/>
    </i>
    <i>
      <x v="3"/>
    </i>
    <i>
      <x v="4"/>
    </i>
    <i>
      <x v="5"/>
    </i>
    <i>
      <x v="6"/>
    </i>
  </colItems>
  <dataFields count="1">
    <dataField name="Antal av F23" fld="23" subtotal="count" baseField="24"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00000000-0007-0000-0800-00000D000000}" name="Pivottabell11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153:U15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4"/>
        <item x="3"/>
        <item x="2"/>
        <item h="1" x="0"/>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9"/>
  </rowFields>
  <rowItems count="5">
    <i>
      <x/>
    </i>
    <i>
      <x v="1"/>
    </i>
    <i>
      <x v="2"/>
    </i>
    <i>
      <x v="3"/>
    </i>
    <i t="grand">
      <x/>
    </i>
  </rowItems>
  <colFields count="1">
    <field x="1"/>
  </colFields>
  <colItems count="5">
    <i>
      <x v="2"/>
    </i>
    <i>
      <x v="3"/>
    </i>
    <i>
      <x v="4"/>
    </i>
    <i>
      <x v="5"/>
    </i>
    <i>
      <x v="6"/>
    </i>
  </colItems>
  <dataFields count="1">
    <dataField name="Medel av Jag får lära mig på olika sätt exempelvis läsa, lyssna, se film, skriva" fld="39" subtotal="average" baseField="41" baseItem="0"/>
  </dataFields>
  <formats count="1">
    <format dxfId="17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Pivottabell10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R4:R5" firstHeaderRow="1" firstDataRow="1" firstDataCol="0" rowPageCount="2" colPageCount="1"/>
  <pivotFields count="60">
    <pivotField showAll="0" defaultSubtotal="0"/>
    <pivotField axis="axisPage" showAll="0" defaultSubtotal="0">
      <items count="7">
        <item m="1" x="6"/>
        <item m="1" x="5"/>
        <item x="0"/>
        <item x="1"/>
        <item x="2"/>
        <item x="3"/>
        <item x="4"/>
      </items>
    </pivotField>
    <pivotField axis="axisPage" dataField="1" multipleItemSelectionAllowed="1" showAll="0">
      <items count="16">
        <item x="1"/>
        <item m="1" x="7"/>
        <item x="4"/>
        <item m="1" x="8"/>
        <item x="3"/>
        <item m="1" x="9"/>
        <item m="1" x="13"/>
        <item m="1" x="11"/>
        <item m="1" x="10"/>
        <item m="1" x="12"/>
        <item m="1" x="5"/>
        <item m="1" x="6"/>
        <item x="2"/>
        <item x="0"/>
        <item m="1" x="14"/>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Items count="1">
    <i/>
  </rowItems>
  <colItems count="1">
    <i/>
  </colItems>
  <pageFields count="2">
    <pageField fld="2" hier="-1"/>
    <pageField fld="1" item="6" hier="-1"/>
  </pageFields>
  <dataFields count="1">
    <dataField name="Antal av F2"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00000000-0007-0000-0800-000035000000}" name="Pivottabell15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87:U29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2"/>
        <item x="1"/>
        <item h="1" x="0"/>
        <item h="1" x="5"/>
      </items>
    </pivotField>
    <pivotField showAll="0" defaultSubtotal="0"/>
    <pivotField showAll="0" defaultSubtotal="0"/>
    <pivotField showAll="0" defaultSubtotal="0"/>
    <pivotField showAll="0" defaultSubtotal="0"/>
    <pivotField showAll="0"/>
    <pivotField showAll="0"/>
    <pivotField showAll="0"/>
    <pivotField showAll="0"/>
  </pivotFields>
  <rowFields count="1">
    <field x="51"/>
  </rowFields>
  <rowItems count="5">
    <i>
      <x/>
    </i>
    <i>
      <x v="1"/>
    </i>
    <i>
      <x v="2"/>
    </i>
    <i>
      <x v="3"/>
    </i>
    <i t="grand">
      <x/>
    </i>
  </rowItems>
  <colFields count="1">
    <field x="1"/>
  </colFields>
  <colItems count="5">
    <i>
      <x v="2"/>
    </i>
    <i>
      <x v="3"/>
    </i>
    <i>
      <x v="4"/>
    </i>
    <i>
      <x v="5"/>
    </i>
    <i>
      <x v="6"/>
    </i>
  </colItems>
  <dataFields count="1">
    <dataField name="Medel av Jag väljer att äta mig mätt i skolan" fld="5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00000000-0007-0000-0800-00009B000000}" name="Pivottabell9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O96:T10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axis="axisRow" dataField="1" showAll="0" defaultSubtotal="0">
      <items count="7">
        <item x="3"/>
        <item x="2"/>
        <item x="1"/>
        <item x="0"/>
        <item h="1" x="4"/>
        <item h="1" m="1" x="6"/>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4"/>
  </rowFields>
  <rowItems count="5">
    <i>
      <x/>
    </i>
    <i>
      <x v="1"/>
    </i>
    <i>
      <x v="2"/>
    </i>
    <i>
      <x v="3"/>
    </i>
    <i t="grand">
      <x/>
    </i>
  </rowItems>
  <colFields count="1">
    <field x="1"/>
  </colFields>
  <colItems count="5">
    <i>
      <x v="2"/>
    </i>
    <i>
      <x v="3"/>
    </i>
    <i>
      <x v="4"/>
    </i>
    <i>
      <x v="5"/>
    </i>
    <i>
      <x v="6"/>
    </i>
  </colItems>
  <dataFields count="1">
    <dataField name="Medel av F34" fld="34" subtotal="average"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00000000-0007-0000-0800-00002B000000}" name="Pivottabell14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54:U260"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0"/>
        <item x="1"/>
        <item h="1" x="5"/>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8"/>
  </rowFields>
  <rowItems count="5">
    <i>
      <x/>
    </i>
    <i>
      <x v="1"/>
    </i>
    <i>
      <x v="2"/>
    </i>
    <i>
      <x v="3"/>
    </i>
    <i t="grand">
      <x/>
    </i>
  </rowItems>
  <colFields count="1">
    <field x="1"/>
  </colFields>
  <colItems count="5">
    <i>
      <x v="2"/>
    </i>
    <i>
      <x v="3"/>
    </i>
    <i>
      <x v="4"/>
    </i>
    <i>
      <x v="5"/>
    </i>
    <i>
      <x v="6"/>
    </i>
  </colItems>
  <dataFields count="1">
    <dataField name="Medel av Det är lugnt i klassrummet " fld="48" subtotal="average" baseField="5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00000000-0007-0000-0800-00007A000000}" name="Pivottabell6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O58:T6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0"/>
        <item x="4"/>
        <item x="3"/>
        <item x="1"/>
        <item h="1" x="2"/>
        <item h="1" x="5"/>
        <item h="1" m="1" x="7"/>
        <item h="1" x="6"/>
        <item t="default"/>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3"/>
  </rowFields>
  <rowItems count="5">
    <i>
      <x/>
    </i>
    <i>
      <x v="1"/>
    </i>
    <i>
      <x v="2"/>
    </i>
    <i>
      <x v="3"/>
    </i>
    <i t="grand">
      <x/>
    </i>
  </rowItems>
  <colFields count="1">
    <field x="1"/>
  </colFields>
  <colItems count="5">
    <i>
      <x v="2"/>
    </i>
    <i>
      <x v="3"/>
    </i>
    <i>
      <x v="4"/>
    </i>
    <i>
      <x v="5"/>
    </i>
    <i>
      <x v="6"/>
    </i>
  </colItems>
  <dataFields count="1">
    <dataField name="Medel av F23" fld="23" subtotal="average" baseField="24" baseItem="1" numFmtId="2"/>
  </dataFields>
  <formats count="3">
    <format dxfId="177">
      <pivotArea outline="0" collapsedLevelsAreSubtotals="1" fieldPosition="0"/>
    </format>
    <format dxfId="176">
      <pivotArea field="1" type="button" dataOnly="0" labelOnly="1" outline="0" axis="axisCol" fieldPosition="0"/>
    </format>
    <format dxfId="175">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00000000-0007-0000-0800-000029000000}" name="Pivottabell145"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54:F26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0"/>
        <item x="1"/>
        <item x="5"/>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8"/>
  </rowFields>
  <rowItems count="7">
    <i>
      <x/>
    </i>
    <i>
      <x v="1"/>
    </i>
    <i>
      <x v="2"/>
    </i>
    <i>
      <x v="3"/>
    </i>
    <i>
      <x v="4"/>
    </i>
    <i>
      <x v="5"/>
    </i>
    <i t="grand">
      <x/>
    </i>
  </rowItems>
  <colFields count="1">
    <field x="1"/>
  </colFields>
  <colItems count="5">
    <i>
      <x v="2"/>
    </i>
    <i>
      <x v="3"/>
    </i>
    <i>
      <x v="4"/>
    </i>
    <i>
      <x v="5"/>
    </i>
    <i>
      <x v="6"/>
    </i>
  </colItems>
  <dataFields count="1">
    <dataField name="Antal av Det är lugnt i klassrummet "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0000000-0007-0000-0800-00005C000000}" name="Pivottabell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V1:AA7"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axis="axisRow" dataField="1" showAll="0" defaultSubtotal="0">
      <items count="4">
        <item n="Flicka" x="0"/>
        <item n="Pojke" x="1"/>
        <item n="Annat/vill inte svara"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
  </rowFields>
  <rowItems count="5">
    <i>
      <x/>
    </i>
    <i>
      <x v="1"/>
    </i>
    <i>
      <x v="2"/>
    </i>
    <i>
      <x v="3"/>
    </i>
    <i t="grand">
      <x/>
    </i>
  </rowItems>
  <colFields count="1">
    <field x="1"/>
  </colFields>
  <colItems count="5">
    <i>
      <x v="2"/>
    </i>
    <i>
      <x v="3"/>
    </i>
    <i>
      <x v="4"/>
    </i>
    <i>
      <x v="5"/>
    </i>
    <i>
      <x v="6"/>
    </i>
  </colItems>
  <dataFields count="1">
    <dataField name="Antal av Kö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9000000}" name="Pivottabell11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142:N150"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1"/>
        <item x="0"/>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8"/>
  </rowFields>
  <rowItems count="7">
    <i>
      <x/>
    </i>
    <i>
      <x v="1"/>
    </i>
    <i>
      <x v="2"/>
    </i>
    <i>
      <x v="3"/>
    </i>
    <i>
      <x v="4"/>
    </i>
    <i>
      <x v="5"/>
    </i>
    <i t="grand">
      <x/>
    </i>
  </rowItems>
  <colFields count="1">
    <field x="1"/>
  </colFields>
  <colItems count="5">
    <i>
      <x v="2"/>
    </i>
    <i>
      <x v="3"/>
    </i>
    <i>
      <x v="4"/>
    </i>
    <i>
      <x v="5"/>
    </i>
    <i>
      <x v="6"/>
    </i>
  </colItems>
  <dataFields count="1">
    <dataField name="Antal av Jag känner att jag lyckas i skolan" fld="38" subtotal="count" showDataAs="percentOfCol" baseField="0" baseItem="0" numFmtId="10"/>
  </dataFields>
  <formats count="2">
    <format dxfId="122">
      <pivotArea collapsedLevelsAreSubtotals="1" fieldPosition="0">
        <references count="1">
          <reference field="38" count="0"/>
        </references>
      </pivotArea>
    </format>
    <format dxfId="121">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00000000-0007-0000-0800-00003C000000}" name="Pivottabell16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309:U31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0"/>
        <item x="3"/>
        <item x="1"/>
        <item h="1" x="2"/>
        <item h="1" x="5"/>
      </items>
    </pivotField>
    <pivotField showAll="0" defaultSubtotal="0"/>
    <pivotField showAll="0" defaultSubtotal="0"/>
    <pivotField showAll="0"/>
    <pivotField showAll="0"/>
    <pivotField showAll="0"/>
    <pivotField showAll="0"/>
  </pivotFields>
  <rowFields count="1">
    <field x="53"/>
  </rowFields>
  <rowItems count="5">
    <i>
      <x/>
    </i>
    <i>
      <x v="1"/>
    </i>
    <i>
      <x v="2"/>
    </i>
    <i>
      <x v="3"/>
    </i>
    <i t="grand">
      <x/>
    </i>
  </rowItems>
  <colFields count="1">
    <field x="1"/>
  </colFields>
  <colItems count="5">
    <i>
      <x v="2"/>
    </i>
    <i>
      <x v="3"/>
    </i>
    <i>
      <x v="4"/>
    </i>
    <i>
      <x v="5"/>
    </i>
    <i>
      <x v="6"/>
    </i>
  </colItems>
  <dataFields count="1">
    <dataField name="Medel av De som jobbar i skolrestaurangen är trevliga och serviceinriktade" fld="5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61B88853-E467-4CA3-B5CF-B52391235F62}" name="Pivottabell2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372:R378"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items count="4">
        <item x="2"/>
        <item x="1"/>
        <item x="0"/>
        <item t="default"/>
      </items>
    </pivotField>
    <pivotField showAll="0"/>
    <pivotField axis="axisRow" dataField="1" showAll="0">
      <items count="5">
        <item x="2"/>
        <item x="1"/>
        <item x="3"/>
        <item x="0"/>
        <item t="default"/>
      </items>
    </pivotField>
  </pivotFields>
  <rowFields count="1">
    <field x="59"/>
  </rowFields>
  <rowItems count="5">
    <i>
      <x/>
    </i>
    <i>
      <x v="1"/>
    </i>
    <i>
      <x v="2"/>
    </i>
    <i>
      <x v="3"/>
    </i>
    <i t="grand">
      <x/>
    </i>
  </rowItems>
  <colFields count="1">
    <field x="1"/>
  </colFields>
  <colItems count="2">
    <i>
      <x v="5"/>
    </i>
    <i>
      <x v="6"/>
    </i>
  </colItems>
  <dataFields count="1">
    <dataField name="Medel av Hur ser du på din framtid" fld="59" subtotal="average" baseField="0" baseItem="0"/>
  </dataFields>
  <formats count="1">
    <format dxfId="17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00000000-0007-0000-0800-00002F000000}" name="Pivottabell15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64:U26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h="1" x="3"/>
        <item h="1" x="1"/>
        <item x="4"/>
        <item h="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9"/>
  </rowFields>
  <rowItems count="4">
    <i>
      <x/>
    </i>
    <i>
      <x v="1"/>
    </i>
    <i>
      <x v="4"/>
    </i>
    <i t="grand">
      <x/>
    </i>
  </rowItems>
  <colFields count="1">
    <field x="1"/>
  </colFields>
  <colItems count="5">
    <i>
      <x v="2"/>
    </i>
    <i>
      <x v="3"/>
    </i>
    <i>
      <x v="4"/>
    </i>
    <i>
      <x v="5"/>
    </i>
    <i>
      <x v="6"/>
    </i>
  </colItems>
  <dataFields count="1">
    <dataField name="Medel av Jag vet vem på skolan jag kan prata med om någon varit elak " fld="4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Pivottabell12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75:F18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x="3"/>
        <item x="1"/>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1"/>
  </rowFields>
  <rowItems count="7">
    <i>
      <x/>
    </i>
    <i>
      <x v="1"/>
    </i>
    <i>
      <x v="2"/>
    </i>
    <i>
      <x v="3"/>
    </i>
    <i>
      <x v="4"/>
    </i>
    <i>
      <x v="5"/>
    </i>
    <i t="grand">
      <x/>
    </i>
  </rowItems>
  <colFields count="1">
    <field x="1"/>
  </colFields>
  <colItems count="5">
    <i>
      <x v="2"/>
    </i>
    <i>
      <x v="3"/>
    </i>
    <i>
      <x v="4"/>
    </i>
    <i>
      <x v="5"/>
    </i>
    <i>
      <x v="6"/>
    </i>
  </colItems>
  <dataFields count="1">
    <dataField name="Antal av I skolan pratar vi om att alla är lika mycket värda "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Pivottabell1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7:F2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axis="axisRow" dataField="1" showAll="0">
      <items count="8">
        <item x="5"/>
        <item x="3"/>
        <item x="2"/>
        <item x="0"/>
        <item x="4"/>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7"/>
  </rowFields>
  <rowItems count="6">
    <i>
      <x/>
    </i>
    <i>
      <x v="1"/>
    </i>
    <i>
      <x v="2"/>
    </i>
    <i>
      <x v="3"/>
    </i>
    <i>
      <x v="4"/>
    </i>
    <i t="grand">
      <x/>
    </i>
  </rowItems>
  <colFields count="1">
    <field x="1"/>
  </colFields>
  <colItems count="5">
    <i>
      <x v="2"/>
    </i>
    <i>
      <x v="3"/>
    </i>
    <i>
      <x v="4"/>
    </i>
    <i>
      <x v="5"/>
    </i>
    <i>
      <x v="6"/>
    </i>
  </colItems>
  <dataFields count="1">
    <dataField name="Antal av F7" fld="7" subtotal="count" baseField="8"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BDFED29D-8008-48FA-8505-5CC272D267B5}" name="Pivottabell5"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344:C350"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3"/>
        <item x="2"/>
        <item x="1"/>
        <item x="0"/>
        <item t="default"/>
      </items>
    </pivotField>
    <pivotField showAll="0"/>
    <pivotField showAll="0"/>
    <pivotField showAll="0"/>
  </pivotFields>
  <rowFields count="1">
    <field x="56"/>
  </rowFields>
  <rowItems count="5">
    <i>
      <x/>
    </i>
    <i>
      <x v="1"/>
    </i>
    <i>
      <x v="2"/>
    </i>
    <i>
      <x v="3"/>
    </i>
    <i t="grand">
      <x/>
    </i>
  </rowItems>
  <colFields count="1">
    <field x="1"/>
  </colFields>
  <colItems count="2">
    <i>
      <x v="5"/>
    </i>
    <i>
      <x v="6"/>
    </i>
  </colItems>
  <dataFields count="1">
    <dataField name="Antal av Hur ofta brukar du vara med kompisar efter skolan och på helger" fld="56" subtotal="count" baseField="5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ell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19:F127"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axis="axisRow" dataField="1" showAll="0" defaultSubtotal="0">
      <items count="8">
        <item x="3"/>
        <item x="5"/>
        <item x="2"/>
        <item x="0"/>
        <item m="1" x="7"/>
        <item m="1" x="6"/>
        <item x="1"/>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6"/>
  </rowFields>
  <rowItems count="7">
    <i>
      <x/>
    </i>
    <i>
      <x v="1"/>
    </i>
    <i>
      <x v="2"/>
    </i>
    <i>
      <x v="3"/>
    </i>
    <i>
      <x v="6"/>
    </i>
    <i>
      <x v="7"/>
    </i>
    <i t="grand">
      <x/>
    </i>
  </rowItems>
  <colFields count="1">
    <field x="1"/>
  </colFields>
  <colItems count="5">
    <i>
      <x v="2"/>
    </i>
    <i>
      <x v="3"/>
    </i>
    <i>
      <x v="4"/>
    </i>
    <i>
      <x v="5"/>
    </i>
    <i>
      <x v="6"/>
    </i>
  </colItems>
  <dataFields count="1">
    <dataField name="Antal av Mina lärare vet vad jag ska lära mig" fld="3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00000000-0007-0000-0800-00001A000000}" name="Pivottabell13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197:N20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4"/>
        <item x="3"/>
        <item x="1"/>
        <item x="0"/>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3"/>
  </rowFields>
  <rowItems count="7">
    <i>
      <x/>
    </i>
    <i>
      <x v="1"/>
    </i>
    <i>
      <x v="2"/>
    </i>
    <i>
      <x v="3"/>
    </i>
    <i>
      <x v="4"/>
    </i>
    <i>
      <x v="5"/>
    </i>
    <i t="grand">
      <x/>
    </i>
  </rowItems>
  <colFields count="1">
    <field x="1"/>
  </colFields>
  <colItems count="5">
    <i>
      <x v="2"/>
    </i>
    <i>
      <x v="3"/>
    </i>
    <i>
      <x v="4"/>
    </i>
    <i>
      <x v="5"/>
    </i>
    <i>
      <x v="6"/>
    </i>
  </colItems>
  <dataFields count="1">
    <dataField name="Antal av Ingen i skolan gör skillnad på tjejer eller killar" fld="43" subtotal="count" showDataAs="percentOfCol" baseField="0" baseItem="0" numFmtId="10"/>
  </dataFields>
  <formats count="2">
    <format dxfId="180">
      <pivotArea collapsedLevelsAreSubtotals="1" fieldPosition="0">
        <references count="1">
          <reference field="43" count="0"/>
        </references>
      </pivotArea>
    </format>
    <format dxfId="179">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00000000-0007-0000-0800-000065000000}" name="Pivottabell4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71:F7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4"/>
        <item x="1"/>
        <item x="0"/>
        <item x="5"/>
        <item h="1" m="1" x="7"/>
        <item h="1" m="1" x="6"/>
        <item h="1" x="3"/>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4"/>
  </rowFields>
  <rowItems count="6">
    <i>
      <x/>
    </i>
    <i>
      <x v="1"/>
    </i>
    <i>
      <x v="2"/>
    </i>
    <i>
      <x v="3"/>
    </i>
    <i>
      <x v="4"/>
    </i>
    <i t="grand">
      <x/>
    </i>
  </rowItems>
  <colFields count="1">
    <field x="1"/>
  </colFields>
  <colItems count="5">
    <i>
      <x v="2"/>
    </i>
    <i>
      <x v="3"/>
    </i>
    <i>
      <x v="4"/>
    </i>
    <i>
      <x v="5"/>
    </i>
    <i>
      <x v="6"/>
    </i>
  </colItems>
  <dataFields count="1">
    <dataField name="Antal av F24" fld="24" subtotal="count" baseField="25"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9B5C77A5-C0DE-41C8-9B4F-16AED8DFC877}" name="Pivottabell10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D3:AI10" firstHeaderRow="1" firstDataRow="2" firstDataCol="1"/>
  <pivotFields count="60">
    <pivotField showAll="0" defaultSubtotal="0"/>
    <pivotField axis="axisCol" showAll="0" defaultSubtotal="0">
      <items count="7">
        <item m="1" x="6"/>
        <item m="1" x="5"/>
        <item x="0"/>
        <item x="1"/>
        <item x="2"/>
        <item x="3"/>
        <item x="4"/>
      </items>
    </pivotField>
    <pivotField axis="axisRow" dataField="1" showAll="0">
      <items count="16">
        <item m="1" x="10"/>
        <item m="1" x="12"/>
        <item x="1"/>
        <item m="1" x="13"/>
        <item m="1" x="7"/>
        <item m="1" x="11"/>
        <item m="1" x="6"/>
        <item x="4"/>
        <item m="1" x="8"/>
        <item m="1" x="9"/>
        <item m="1" x="5"/>
        <item x="3"/>
        <item x="2"/>
        <item x="0"/>
        <item m="1" x="14"/>
        <item t="default"/>
      </items>
    </pivotField>
    <pivotField showAll="0" defaultSubtotal="0">
      <items count="4">
        <item x="0"/>
        <item x="1"/>
        <item x="2"/>
        <item x="3"/>
      </items>
    </pivotField>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
  </rowFields>
  <rowItems count="6">
    <i>
      <x v="2"/>
    </i>
    <i>
      <x v="7"/>
    </i>
    <i>
      <x v="11"/>
    </i>
    <i>
      <x v="12"/>
    </i>
    <i>
      <x v="13"/>
    </i>
    <i t="grand">
      <x/>
    </i>
  </rowItems>
  <colFields count="1">
    <field x="1"/>
  </colFields>
  <colItems count="5">
    <i>
      <x v="2"/>
    </i>
    <i>
      <x v="3"/>
    </i>
    <i>
      <x v="4"/>
    </i>
    <i>
      <x v="5"/>
    </i>
    <i>
      <x v="6"/>
    </i>
  </colItems>
  <dataFields count="1">
    <dataField name="Antal av F2" fld="2" subtotal="count" baseField="3" baseItem="2" numFmtId="2"/>
  </dataFields>
  <formats count="4">
    <format dxfId="184">
      <pivotArea outline="0" collapsedLevelsAreSubtotals="1" fieldPosition="0"/>
    </format>
    <format dxfId="183">
      <pivotArea outline="0" fieldPosition="0">
        <references count="1">
          <reference field="4294967294" count="1">
            <x v="0"/>
          </reference>
        </references>
      </pivotArea>
    </format>
    <format dxfId="182">
      <pivotArea collapsedLevelsAreSubtotals="1" fieldPosition="0">
        <references count="1">
          <reference field="2" count="0"/>
        </references>
      </pivotArea>
    </format>
    <format dxfId="18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Pivottabell11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142:U14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1"/>
        <item h="1" x="0"/>
        <item h="1"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8"/>
  </rowFields>
  <rowItems count="5">
    <i>
      <x/>
    </i>
    <i>
      <x v="1"/>
    </i>
    <i>
      <x v="2"/>
    </i>
    <i>
      <x v="5"/>
    </i>
    <i t="grand">
      <x/>
    </i>
  </rowItems>
  <colFields count="1">
    <field x="1"/>
  </colFields>
  <colItems count="5">
    <i>
      <x v="2"/>
    </i>
    <i>
      <x v="3"/>
    </i>
    <i>
      <x v="4"/>
    </i>
    <i>
      <x v="5"/>
    </i>
    <i>
      <x v="6"/>
    </i>
  </colItems>
  <dataFields count="1">
    <dataField name="Medel av Jag känner att jag lyckas i skolan" fld="38" subtotal="average" baseField="40" baseItem="0"/>
  </dataFields>
  <formats count="1">
    <format dxfId="1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6114F1BC-1B56-482F-A842-A47C5247F168}" name="Pivottabell1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363:C369"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items count="4">
        <item x="2"/>
        <item x="1"/>
        <item x="0"/>
        <item t="default"/>
      </items>
    </pivotField>
    <pivotField axis="axisRow" dataField="1" showAll="0">
      <items count="5">
        <item x="1"/>
        <item x="3"/>
        <item x="2"/>
        <item x="0"/>
        <item t="default"/>
      </items>
    </pivotField>
    <pivotField showAll="0"/>
  </pivotFields>
  <rowFields count="1">
    <field x="58"/>
  </rowFields>
  <rowItems count="5">
    <i>
      <x/>
    </i>
    <i>
      <x v="1"/>
    </i>
    <i>
      <x v="2"/>
    </i>
    <i>
      <x v="3"/>
    </i>
    <i t="grand">
      <x/>
    </i>
  </rowItems>
  <colFields count="1">
    <field x="1"/>
  </colFields>
  <colItems count="2">
    <i>
      <x v="5"/>
    </i>
    <i>
      <x v="6"/>
    </i>
  </colItems>
  <dataFields count="1">
    <dataField name="Antal av Kan du prata med någon av dina föräldrar om du har problem eller oro" fld="5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00000000-0007-0000-0800-000020000000}" name="Pivottabell13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20:N22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0"/>
        <item x="1"/>
        <item x="2"/>
        <item x="3"/>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5"/>
  </rowFields>
  <rowItems count="7">
    <i>
      <x/>
    </i>
    <i>
      <x v="1"/>
    </i>
    <i>
      <x v="2"/>
    </i>
    <i>
      <x v="3"/>
    </i>
    <i>
      <x v="4"/>
    </i>
    <i>
      <x v="5"/>
    </i>
    <i t="grand">
      <x/>
    </i>
  </rowItems>
  <colFields count="1">
    <field x="1"/>
  </colFields>
  <colItems count="5">
    <i>
      <x v="2"/>
    </i>
    <i>
      <x v="3"/>
    </i>
    <i>
      <x v="4"/>
    </i>
    <i>
      <x v="5"/>
    </i>
    <i>
      <x v="6"/>
    </i>
  </colItems>
  <dataFields count="1">
    <dataField name="Antal av Jag får vara med och välja vad vi ska göra på lektionerna2" fld="45" subtotal="count" showDataAs="percentOfCol" baseField="0" baseItem="0" numFmtId="10"/>
  </dataFields>
  <formats count="2">
    <format dxfId="186">
      <pivotArea collapsedLevelsAreSubtotals="1" fieldPosition="0">
        <references count="2">
          <reference field="1" count="4" selected="0">
            <x v="2"/>
            <x v="3"/>
            <x v="4"/>
            <x v="5"/>
          </reference>
          <reference field="45" count="0"/>
        </references>
      </pivotArea>
    </format>
    <format dxfId="185">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00000000-0007-0000-0800-00003D000000}" name="Pivottabell16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320:F32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3"/>
        <item x="2"/>
        <item x="0"/>
        <item x="1"/>
        <item x="5"/>
      </items>
    </pivotField>
    <pivotField showAll="0" defaultSubtotal="0"/>
    <pivotField showAll="0"/>
    <pivotField showAll="0"/>
    <pivotField showAll="0"/>
    <pivotField showAll="0"/>
  </pivotFields>
  <rowFields count="1">
    <field x="54"/>
  </rowFields>
  <rowItems count="7">
    <i>
      <x/>
    </i>
    <i>
      <x v="1"/>
    </i>
    <i>
      <x v="2"/>
    </i>
    <i>
      <x v="3"/>
    </i>
    <i>
      <x v="4"/>
    </i>
    <i>
      <x v="5"/>
    </i>
    <i t="grand">
      <x/>
    </i>
  </rowItems>
  <colFields count="1">
    <field x="1"/>
  </colFields>
  <colItems count="5">
    <i>
      <x v="2"/>
    </i>
    <i>
      <x v="3"/>
    </i>
    <i>
      <x v="4"/>
    </i>
    <i>
      <x v="5"/>
    </i>
    <i>
      <x v="6"/>
    </i>
  </colItems>
  <dataFields count="1">
    <dataField name="Antal av Toaletterna är rena och fina"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00000000-0007-0000-0800-000028000000}" name="Pivottabell14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43:U24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h="1" x="3"/>
        <item h="1"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7"/>
  </rowFields>
  <rowItems count="5">
    <i>
      <x/>
    </i>
    <i>
      <x v="1"/>
    </i>
    <i>
      <x v="2"/>
    </i>
    <i>
      <x v="5"/>
    </i>
    <i t="grand">
      <x/>
    </i>
  </rowItems>
  <colFields count="1">
    <field x="1"/>
  </colFields>
  <colItems count="5">
    <i>
      <x v="2"/>
    </i>
    <i>
      <x v="3"/>
    </i>
    <i>
      <x v="4"/>
    </i>
    <i>
      <x v="5"/>
    </i>
    <i>
      <x v="6"/>
    </i>
  </colItems>
  <dataFields count="1">
    <dataField name="Medel av Mina lärare säger ifrån om någon behandlas illa eller blir kränkt2" fld="47" subtotal="average" baseField="5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00000000-0007-0000-0800-000089000000}" name="Pivottabell8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O32:T38"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axis="axisRow" dataField="1" showAll="0">
      <items count="9">
        <item x="5"/>
        <item x="4"/>
        <item x="3"/>
        <item x="2"/>
        <item h="1" x="0"/>
        <item h="1" m="1" x="7"/>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9"/>
  </rowFields>
  <rowItems count="5">
    <i>
      <x/>
    </i>
    <i>
      <x v="1"/>
    </i>
    <i>
      <x v="2"/>
    </i>
    <i>
      <x v="3"/>
    </i>
    <i t="grand">
      <x/>
    </i>
  </rowItems>
  <colFields count="1">
    <field x="1"/>
  </colFields>
  <colItems count="5">
    <i>
      <x v="2"/>
    </i>
    <i>
      <x v="3"/>
    </i>
    <i>
      <x v="4"/>
    </i>
    <i>
      <x v="5"/>
    </i>
    <i>
      <x v="6"/>
    </i>
  </colItems>
  <dataFields count="1">
    <dataField name="Medel av F9" fld="9" subtotal="average" baseField="10" baseItem="0" numFmtId="2"/>
  </dataFields>
  <formats count="3">
    <format dxfId="189">
      <pivotArea field="9" type="button" dataOnly="0" labelOnly="1" outline="0" axis="axisRow" fieldPosition="0"/>
    </format>
    <format dxfId="188">
      <pivotArea outline="0" collapsedLevelsAreSubtotals="1" fieldPosition="0"/>
    </format>
    <format dxfId="187">
      <pivotArea field="1"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00000000-0007-0000-0800-000030000000}" name="Pivottabell15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76:F28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3"/>
        <item x="1"/>
        <item x="4"/>
        <item x="5"/>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50"/>
  </rowFields>
  <rowItems count="7">
    <i>
      <x/>
    </i>
    <i>
      <x v="1"/>
    </i>
    <i>
      <x v="2"/>
    </i>
    <i>
      <x v="3"/>
    </i>
    <i>
      <x v="4"/>
    </i>
    <i>
      <x v="5"/>
    </i>
    <i t="grand">
      <x/>
    </i>
  </rowItems>
  <colFields count="1">
    <field x="1"/>
  </colFields>
  <colItems count="5">
    <i>
      <x v="2"/>
    </i>
    <i>
      <x v="3"/>
    </i>
    <i>
      <x v="4"/>
    </i>
    <i>
      <x v="5"/>
    </i>
    <i>
      <x v="6"/>
    </i>
  </colItems>
  <dataFields count="1">
    <dataField name="Antal av Maten på min skola är bra, sett till näringsinnehåll, utseende, smak och klimat- och miljöperspektiv" fld="5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0000000-0007-0000-0800-00002E000000}" name="Pivottabell15"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32:F3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axis="axisRow" dataField="1" showAll="0">
      <items count="9">
        <item x="5"/>
        <item x="4"/>
        <item x="3"/>
        <item x="2"/>
        <item x="0"/>
        <item h="1" m="1" x="7"/>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9"/>
  </rowFields>
  <rowItems count="6">
    <i>
      <x/>
    </i>
    <i>
      <x v="1"/>
    </i>
    <i>
      <x v="2"/>
    </i>
    <i>
      <x v="3"/>
    </i>
    <i>
      <x v="4"/>
    </i>
    <i t="grand">
      <x/>
    </i>
  </rowItems>
  <colFields count="1">
    <field x="1"/>
  </colFields>
  <colItems count="5">
    <i>
      <x v="2"/>
    </i>
    <i>
      <x v="3"/>
    </i>
    <i>
      <x v="4"/>
    </i>
    <i>
      <x v="5"/>
    </i>
    <i>
      <x v="6"/>
    </i>
  </colItems>
  <dataFields count="1">
    <dataField name="Antal av F9" fld="9"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00000000-0007-0000-0800-00003A000000}" name="Pivottabell16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309:F317"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0"/>
        <item x="3"/>
        <item x="1"/>
        <item x="2"/>
        <item x="5"/>
      </items>
    </pivotField>
    <pivotField showAll="0" defaultSubtotal="0"/>
    <pivotField showAll="0" defaultSubtotal="0"/>
    <pivotField showAll="0"/>
    <pivotField showAll="0"/>
    <pivotField showAll="0"/>
    <pivotField showAll="0"/>
  </pivotFields>
  <rowFields count="1">
    <field x="53"/>
  </rowFields>
  <rowItems count="7">
    <i>
      <x/>
    </i>
    <i>
      <x v="1"/>
    </i>
    <i>
      <x v="2"/>
    </i>
    <i>
      <x v="3"/>
    </i>
    <i>
      <x v="4"/>
    </i>
    <i>
      <x v="5"/>
    </i>
    <i t="grand">
      <x/>
    </i>
  </rowItems>
  <colFields count="1">
    <field x="1"/>
  </colFields>
  <colItems count="5">
    <i>
      <x v="2"/>
    </i>
    <i>
      <x v="3"/>
    </i>
    <i>
      <x v="4"/>
    </i>
    <i>
      <x v="5"/>
    </i>
    <i>
      <x v="6"/>
    </i>
  </colItems>
  <dataFields count="1">
    <dataField name="Antal av De som jobbar i skolrestaurangen är trevliga och serviceinriktade" fld="5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00000000-0007-0000-0800-000092000000}" name="Pivottabell8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96:F10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axis="axisRow" dataField="1" showAll="0" defaultSubtotal="0">
      <items count="7">
        <item x="3"/>
        <item x="2"/>
        <item x="1"/>
        <item x="0"/>
        <item x="4"/>
        <item h="1" m="1" x="6"/>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4"/>
  </rowFields>
  <rowItems count="6">
    <i>
      <x/>
    </i>
    <i>
      <x v="1"/>
    </i>
    <i>
      <x v="2"/>
    </i>
    <i>
      <x v="3"/>
    </i>
    <i>
      <x v="4"/>
    </i>
    <i t="grand">
      <x/>
    </i>
  </rowItems>
  <colFields count="1">
    <field x="1"/>
  </colFields>
  <colItems count="5">
    <i>
      <x v="2"/>
    </i>
    <i>
      <x v="3"/>
    </i>
    <i>
      <x v="4"/>
    </i>
    <i>
      <x v="5"/>
    </i>
    <i>
      <x v="6"/>
    </i>
  </colItems>
  <dataFields count="1">
    <dataField name="Antal av F34" fld="34" subtotal="count"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FC59ED25-AEB1-47E5-B76F-4552CDC700F3}" name="Pivottabell1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372:C378"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items count="4">
        <item x="2"/>
        <item x="1"/>
        <item x="0"/>
        <item t="default"/>
      </items>
    </pivotField>
    <pivotField showAll="0"/>
    <pivotField axis="axisRow" dataField="1" showAll="0">
      <items count="5">
        <item x="2"/>
        <item x="1"/>
        <item x="3"/>
        <item x="0"/>
        <item t="default"/>
      </items>
    </pivotField>
  </pivotFields>
  <rowFields count="1">
    <field x="59"/>
  </rowFields>
  <rowItems count="5">
    <i>
      <x/>
    </i>
    <i>
      <x v="1"/>
    </i>
    <i>
      <x v="2"/>
    </i>
    <i>
      <x v="3"/>
    </i>
    <i t="grand">
      <x/>
    </i>
  </rowItems>
  <colFields count="1">
    <field x="1"/>
  </colFields>
  <colItems count="2">
    <i>
      <x v="5"/>
    </i>
    <i>
      <x v="6"/>
    </i>
  </colItems>
  <dataFields count="1">
    <dataField name="Antal av Hur ser du på din framtid" fld="5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32000000}" name="Pivottabell15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76:U28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3"/>
        <item x="1"/>
        <item h="1" x="4"/>
        <item h="1" x="5"/>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50"/>
  </rowFields>
  <rowItems count="5">
    <i>
      <x/>
    </i>
    <i>
      <x v="1"/>
    </i>
    <i>
      <x v="2"/>
    </i>
    <i>
      <x v="3"/>
    </i>
    <i t="grand">
      <x/>
    </i>
  </rowItems>
  <colFields count="1">
    <field x="1"/>
  </colFields>
  <colItems count="5">
    <i>
      <x v="2"/>
    </i>
    <i>
      <x v="3"/>
    </i>
    <i>
      <x v="4"/>
    </i>
    <i>
      <x v="5"/>
    </i>
    <i>
      <x v="6"/>
    </i>
  </colItems>
  <dataFields count="1">
    <dataField name="Medel av Maten på min skola är bra, sett till näringsinnehåll, utseende, smak och klimat- och miljöperspektiv" fld="5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00000000-0007-0000-0800-000013000000}" name="Pivottabell125"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175:N18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x="3"/>
        <item x="1"/>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1"/>
  </rowFields>
  <rowItems count="7">
    <i>
      <x/>
    </i>
    <i>
      <x v="1"/>
    </i>
    <i>
      <x v="2"/>
    </i>
    <i>
      <x v="3"/>
    </i>
    <i>
      <x v="4"/>
    </i>
    <i>
      <x v="5"/>
    </i>
    <i t="grand">
      <x/>
    </i>
  </rowItems>
  <colFields count="1">
    <field x="1"/>
  </colFields>
  <colItems count="5">
    <i>
      <x v="2"/>
    </i>
    <i>
      <x v="3"/>
    </i>
    <i>
      <x v="4"/>
    </i>
    <i>
      <x v="5"/>
    </i>
    <i>
      <x v="6"/>
    </i>
  </colItems>
  <dataFields count="1">
    <dataField name="Antal av I skolan pratar vi om att alla är lika mycket värda " fld="41" subtotal="count" showDataAs="percentOfCol" baseField="0" baseItem="0" numFmtId="10"/>
  </dataFields>
  <formats count="2">
    <format dxfId="191">
      <pivotArea collapsedLevelsAreSubtotals="1" fieldPosition="0">
        <references count="1">
          <reference field="41" count="0"/>
        </references>
      </pivotArea>
    </format>
    <format dxfId="190">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0000000-0007-0000-0800-00001E000000}" name="Pivottabell135"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08:U21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5"/>
        <item x="2"/>
        <item x="0"/>
        <item h="1" x="4"/>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4"/>
  </rowFields>
  <rowItems count="5">
    <i>
      <x/>
    </i>
    <i>
      <x v="1"/>
    </i>
    <i>
      <x v="2"/>
    </i>
    <i>
      <x v="3"/>
    </i>
    <i t="grand">
      <x/>
    </i>
  </rowItems>
  <colFields count="1">
    <field x="1"/>
  </colFields>
  <colItems count="5">
    <i>
      <x v="2"/>
    </i>
    <i>
      <x v="3"/>
    </i>
    <i>
      <x v="4"/>
    </i>
    <i>
      <x v="5"/>
    </i>
    <i>
      <x v="6"/>
    </i>
  </colItems>
  <dataFields count="1">
    <dataField name="Medel av I min skola är vi snälla och lyssnar på varandra" fld="44" subtotal="average" baseField="51" baseItem="0"/>
  </dataFields>
  <formats count="1">
    <format dxfId="19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00000000-0007-0000-0800-000077000000}" name="Pivottabell6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O71:T77"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4"/>
        <item x="1"/>
        <item x="0"/>
        <item h="1" x="5"/>
        <item h="1" m="1" x="7"/>
        <item h="1" m="1" x="6"/>
        <item h="1" x="3"/>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4"/>
  </rowFields>
  <rowItems count="5">
    <i>
      <x/>
    </i>
    <i>
      <x v="1"/>
    </i>
    <i>
      <x v="2"/>
    </i>
    <i>
      <x v="3"/>
    </i>
    <i t="grand">
      <x/>
    </i>
  </rowItems>
  <colFields count="1">
    <field x="1"/>
  </colFields>
  <colItems count="5">
    <i>
      <x v="2"/>
    </i>
    <i>
      <x v="3"/>
    </i>
    <i>
      <x v="4"/>
    </i>
    <i>
      <x v="5"/>
    </i>
    <i>
      <x v="6"/>
    </i>
  </colItems>
  <dataFields count="1">
    <dataField name="Medel av F24" fld="24" subtotal="average" baseField="25" baseItem="2" numFmtId="2"/>
  </dataFields>
  <formats count="3">
    <format dxfId="195">
      <pivotArea outline="0" collapsedLevelsAreSubtotals="1" fieldPosition="0"/>
    </format>
    <format dxfId="194">
      <pivotArea field="1" type="button" dataOnly="0" labelOnly="1" outline="0" axis="axisCol" fieldPosition="0"/>
    </format>
    <format dxfId="193">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00000000-0007-0000-0800-000016000000}" name="Pivottabell12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186:N19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1"/>
        <item x="0"/>
        <item x="2"/>
        <item x="4"/>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2"/>
  </rowFields>
  <rowItems count="7">
    <i>
      <x/>
    </i>
    <i>
      <x v="1"/>
    </i>
    <i>
      <x v="2"/>
    </i>
    <i>
      <x v="3"/>
    </i>
    <i>
      <x v="4"/>
    </i>
    <i>
      <x v="5"/>
    </i>
    <i t="grand">
      <x/>
    </i>
  </rowItems>
  <colFields count="1">
    <field x="1"/>
  </colFields>
  <colItems count="5">
    <i>
      <x v="2"/>
    </i>
    <i>
      <x v="3"/>
    </i>
    <i>
      <x v="4"/>
    </i>
    <i>
      <x v="5"/>
    </i>
    <i>
      <x v="6"/>
    </i>
  </colItems>
  <dataFields count="1">
    <dataField name="Antal av Vi brukar prata om hur vi ska bemöta varandra" fld="42" subtotal="count" showDataAs="percentOfCol" baseField="0" baseItem="0" numFmtId="10"/>
  </dataFields>
  <formats count="2">
    <format dxfId="197">
      <pivotArea collapsedLevelsAreSubtotals="1" fieldPosition="0">
        <references count="1">
          <reference field="42" count="0"/>
        </references>
      </pivotArea>
    </format>
    <format dxfId="196">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0000000-0007-0000-0800-000019000000}" name="Pivottabell13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97:F20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4"/>
        <item x="3"/>
        <item x="1"/>
        <item x="0"/>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3"/>
  </rowFields>
  <rowItems count="7">
    <i>
      <x/>
    </i>
    <i>
      <x v="1"/>
    </i>
    <i>
      <x v="2"/>
    </i>
    <i>
      <x v="3"/>
    </i>
    <i>
      <x v="4"/>
    </i>
    <i>
      <x v="5"/>
    </i>
    <i t="grand">
      <x/>
    </i>
  </rowItems>
  <colFields count="1">
    <field x="1"/>
  </colFields>
  <colItems count="5">
    <i>
      <x v="2"/>
    </i>
    <i>
      <x v="3"/>
    </i>
    <i>
      <x v="4"/>
    </i>
    <i>
      <x v="5"/>
    </i>
    <i>
      <x v="6"/>
    </i>
  </colItems>
  <dataFields count="1">
    <dataField name="Antal av Ingen i skolan gör skillnad på tjejer eller killar"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C8469370-3C26-467C-B232-FFBEFEB8FBA6}" name="Pivottabell1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363:R369"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items count="4">
        <item x="2"/>
        <item x="1"/>
        <item x="0"/>
        <item t="default"/>
      </items>
    </pivotField>
    <pivotField axis="axisRow" dataField="1" showAll="0">
      <items count="5">
        <item x="1"/>
        <item x="3"/>
        <item x="2"/>
        <item x="0"/>
        <item t="default"/>
      </items>
    </pivotField>
    <pivotField showAll="0"/>
  </pivotFields>
  <rowFields count="1">
    <field x="58"/>
  </rowFields>
  <rowItems count="5">
    <i>
      <x/>
    </i>
    <i>
      <x v="1"/>
    </i>
    <i>
      <x v="2"/>
    </i>
    <i>
      <x v="3"/>
    </i>
    <i t="grand">
      <x/>
    </i>
  </rowItems>
  <colFields count="1">
    <field x="1"/>
  </colFields>
  <colItems count="2">
    <i>
      <x v="5"/>
    </i>
    <i>
      <x v="6"/>
    </i>
  </colItems>
  <dataFields count="1">
    <dataField name="Medel av Kan du prata med någon av dina föräldrar om du har problem eller oro" fld="58" subtotal="average" baseField="0" baseItem="0"/>
  </dataFields>
  <formats count="1">
    <format dxfId="19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00000000-0007-0000-0800-000034000000}" name="Pivottabell155"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87:N29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2"/>
        <item x="1"/>
        <item x="0"/>
        <item x="5"/>
      </items>
    </pivotField>
    <pivotField showAll="0" defaultSubtotal="0"/>
    <pivotField showAll="0" defaultSubtotal="0"/>
    <pivotField showAll="0" defaultSubtotal="0"/>
    <pivotField showAll="0" defaultSubtotal="0"/>
    <pivotField showAll="0"/>
    <pivotField showAll="0"/>
    <pivotField showAll="0"/>
    <pivotField showAll="0"/>
  </pivotFields>
  <rowFields count="1">
    <field x="51"/>
  </rowFields>
  <rowItems count="7">
    <i>
      <x/>
    </i>
    <i>
      <x v="1"/>
    </i>
    <i>
      <x v="2"/>
    </i>
    <i>
      <x v="3"/>
    </i>
    <i>
      <x v="4"/>
    </i>
    <i>
      <x v="5"/>
    </i>
    <i t="grand">
      <x/>
    </i>
  </rowItems>
  <colFields count="1">
    <field x="1"/>
  </colFields>
  <colItems count="5">
    <i>
      <x v="2"/>
    </i>
    <i>
      <x v="3"/>
    </i>
    <i>
      <x v="4"/>
    </i>
    <i>
      <x v="5"/>
    </i>
    <i>
      <x v="6"/>
    </i>
  </colItems>
  <dataFields count="1">
    <dataField name="Antal av Jag väljer att äta mig mätt i skolan" fld="51" subtotal="count" showDataAs="percentOfCol" baseField="0" baseItem="0" numFmtId="10"/>
  </dataFields>
  <formats count="2">
    <format dxfId="200">
      <pivotArea collapsedLevelsAreSubtotals="1" fieldPosition="0">
        <references count="2">
          <reference field="1" count="4" selected="0">
            <x v="2"/>
            <x v="3"/>
            <x v="4"/>
            <x v="5"/>
          </reference>
          <reference field="51" count="0"/>
        </references>
      </pivotArea>
    </format>
    <format dxfId="199">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00000000-0007-0000-0800-000040000000}" name="Pivottabell16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332:F340"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3"/>
        <item x="0"/>
        <item x="2"/>
        <item h="1" x="6"/>
        <item x="1"/>
      </items>
    </pivotField>
    <pivotField showAll="0"/>
    <pivotField showAll="0"/>
    <pivotField showAll="0"/>
    <pivotField showAll="0"/>
  </pivotFields>
  <rowFields count="1">
    <field x="55"/>
  </rowFields>
  <rowItems count="7">
    <i>
      <x/>
    </i>
    <i>
      <x v="1"/>
    </i>
    <i>
      <x v="2"/>
    </i>
    <i>
      <x v="3"/>
    </i>
    <i>
      <x v="4"/>
    </i>
    <i>
      <x v="6"/>
    </i>
    <i t="grand">
      <x/>
    </i>
  </rowItems>
  <colFields count="1">
    <field x="1"/>
  </colFields>
  <colItems count="5">
    <i>
      <x v="2"/>
    </i>
    <i>
      <x v="3"/>
    </i>
    <i>
      <x v="4"/>
    </i>
    <i>
      <x v="5"/>
    </i>
    <i>
      <x v="6"/>
    </i>
  </colItems>
  <dataFields count="1">
    <dataField name="Antal av Jag får veta vad man kan göra efter studenten " fld="5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00000000-0007-0000-0800-000004000000}" name="Pivottabell108"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31:F13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8">
        <item x="4"/>
        <item x="5"/>
        <item x="2"/>
        <item x="1"/>
        <item m="1" x="7"/>
        <item m="1" x="6"/>
        <item x="3"/>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7"/>
  </rowFields>
  <rowItems count="7">
    <i>
      <x/>
    </i>
    <i>
      <x v="1"/>
    </i>
    <i>
      <x v="2"/>
    </i>
    <i>
      <x v="3"/>
    </i>
    <i>
      <x v="6"/>
    </i>
    <i>
      <x v="7"/>
    </i>
    <i t="grand">
      <x/>
    </i>
  </rowItems>
  <colFields count="1">
    <field x="1"/>
  </colFields>
  <colItems count="5">
    <i>
      <x v="2"/>
    </i>
    <i>
      <x v="3"/>
    </i>
    <i>
      <x v="4"/>
    </i>
    <i>
      <x v="5"/>
    </i>
    <i>
      <x v="6"/>
    </i>
  </colItems>
  <dataFields count="1">
    <dataField name="Antal av När jag vill lära mig mer får jag nya uppgifter"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00000000-0007-0000-0800-00002A000000}" name="Pivottabell146"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54:N26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0"/>
        <item x="1"/>
        <item x="5"/>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8"/>
  </rowFields>
  <rowItems count="7">
    <i>
      <x/>
    </i>
    <i>
      <x v="1"/>
    </i>
    <i>
      <x v="2"/>
    </i>
    <i>
      <x v="3"/>
    </i>
    <i>
      <x v="4"/>
    </i>
    <i>
      <x v="5"/>
    </i>
    <i t="grand">
      <x/>
    </i>
  </rowItems>
  <colFields count="1">
    <field x="1"/>
  </colFields>
  <colItems count="5">
    <i>
      <x v="2"/>
    </i>
    <i>
      <x v="3"/>
    </i>
    <i>
      <x v="4"/>
    </i>
    <i>
      <x v="5"/>
    </i>
    <i>
      <x v="6"/>
    </i>
  </colItems>
  <dataFields count="1">
    <dataField name="Antal av Det är lugnt i klassrummet " fld="48" subtotal="count" showDataAs="percentOfCol" baseField="0" baseItem="0" numFmtId="10"/>
  </dataFields>
  <formats count="2">
    <format dxfId="202">
      <pivotArea collapsedLevelsAreSubtotals="1" fieldPosition="0">
        <references count="1">
          <reference field="48" count="0"/>
        </references>
      </pivotArea>
    </format>
    <format dxfId="201">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31000000}" name="Pivottabell15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76:N28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3"/>
        <item x="1"/>
        <item x="4"/>
        <item x="5"/>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50"/>
  </rowFields>
  <rowItems count="7">
    <i>
      <x/>
    </i>
    <i>
      <x v="1"/>
    </i>
    <i>
      <x v="2"/>
    </i>
    <i>
      <x v="3"/>
    </i>
    <i>
      <x v="4"/>
    </i>
    <i>
      <x v="5"/>
    </i>
    <i t="grand">
      <x/>
    </i>
  </rowItems>
  <colFields count="1">
    <field x="1"/>
  </colFields>
  <colItems count="5">
    <i>
      <x v="2"/>
    </i>
    <i>
      <x v="3"/>
    </i>
    <i>
      <x v="4"/>
    </i>
    <i>
      <x v="5"/>
    </i>
    <i>
      <x v="6"/>
    </i>
  </colItems>
  <dataFields count="1">
    <dataField name="Antal av Maten på min skola är bra, sett till näringsinnehåll, utseende, smak och klimat- och miljöperspektiv" fld="50" subtotal="count" showDataAs="percentOfCol" baseField="0" baseItem="0" numFmtId="10"/>
  </dataFields>
  <formats count="2">
    <format dxfId="125">
      <pivotArea collapsedLevelsAreSubtotals="1" fieldPosition="0">
        <references count="2">
          <reference field="1" count="4" selected="0">
            <x v="2"/>
            <x v="3"/>
            <x v="4"/>
            <x v="5"/>
          </reference>
          <reference field="50" count="0"/>
        </references>
      </pivotArea>
    </format>
    <format dxfId="124">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00000000-0007-0000-0800-000096000000}" name="Pivottabell9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H96:M10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axis="axisRow" dataField="1" showAll="0" defaultSubtotal="0">
      <items count="7">
        <item x="3"/>
        <item x="2"/>
        <item x="1"/>
        <item x="0"/>
        <item x="4"/>
        <item h="1" m="1" x="6"/>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4"/>
  </rowFields>
  <rowItems count="6">
    <i>
      <x/>
    </i>
    <i>
      <x v="1"/>
    </i>
    <i>
      <x v="2"/>
    </i>
    <i>
      <x v="3"/>
    </i>
    <i>
      <x v="4"/>
    </i>
    <i t="grand">
      <x/>
    </i>
  </rowItems>
  <colFields count="1">
    <field x="1"/>
  </colFields>
  <colItems count="5">
    <i>
      <x v="2"/>
    </i>
    <i>
      <x v="3"/>
    </i>
    <i>
      <x v="4"/>
    </i>
    <i>
      <x v="5"/>
    </i>
    <i>
      <x v="6"/>
    </i>
  </colItems>
  <dataFields count="1">
    <dataField name="Antal av F34" fld="34" subtotal="count" showDataAs="percentOfCol" baseField="35" baseItem="1" numFmtId="10"/>
  </dataFields>
  <formats count="2">
    <format dxfId="204">
      <pivotArea collapsedLevelsAreSubtotals="1" fieldPosition="0">
        <references count="1">
          <reference field="34" count="0"/>
        </references>
      </pivotArea>
    </format>
    <format dxfId="20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00000000-0007-0000-0800-000005000000}" name="Pivottabell10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131:N13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8">
        <item x="4"/>
        <item x="5"/>
        <item x="2"/>
        <item x="1"/>
        <item m="1" x="7"/>
        <item m="1" x="6"/>
        <item x="3"/>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7"/>
  </rowFields>
  <rowItems count="7">
    <i>
      <x/>
    </i>
    <i>
      <x v="1"/>
    </i>
    <i>
      <x v="2"/>
    </i>
    <i>
      <x v="3"/>
    </i>
    <i>
      <x v="6"/>
    </i>
    <i>
      <x v="7"/>
    </i>
    <i t="grand">
      <x/>
    </i>
  </rowItems>
  <colFields count="1">
    <field x="1"/>
  </colFields>
  <colItems count="5">
    <i>
      <x v="2"/>
    </i>
    <i>
      <x v="3"/>
    </i>
    <i>
      <x v="4"/>
    </i>
    <i>
      <x v="5"/>
    </i>
    <i>
      <x v="6"/>
    </i>
  </colItems>
  <dataFields count="1">
    <dataField name="Antal av När jag vill lära mig mer får jag nya uppgifter" fld="37" subtotal="count" showDataAs="percentOfCol" baseField="0" baseItem="0" numFmtId="10"/>
  </dataFields>
  <formats count="3">
    <format dxfId="207">
      <pivotArea collapsedLevelsAreSubtotals="1" fieldPosition="0">
        <references count="1">
          <reference field="37" count="6">
            <x v="0"/>
            <x v="1"/>
            <x v="2"/>
            <x v="3"/>
            <x v="4"/>
            <x v="5"/>
          </reference>
        </references>
      </pivotArea>
    </format>
    <format dxfId="206">
      <pivotArea collapsedLevelsAreSubtotals="1" fieldPosition="0">
        <references count="2">
          <reference field="1" count="4" selected="0">
            <x v="2"/>
            <x v="3"/>
            <x v="4"/>
            <x v="5"/>
          </reference>
          <reference field="37" count="2">
            <x v="6"/>
            <x v="7"/>
          </reference>
        </references>
      </pivotArea>
    </format>
    <format dxfId="205">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00000000-0007-0000-0800-000094000000}" name="Pivottabell9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08:F11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dataField="1" showAll="0" defaultSubtotal="0">
      <items count="9">
        <item x="3"/>
        <item x="5"/>
        <item x="4"/>
        <item x="2"/>
        <item x="0"/>
        <item h="1" m="1" x="8"/>
        <item h="1" m="1" x="6"/>
        <item h="1" x="1"/>
        <item h="1" m="1"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5"/>
  </rowFields>
  <rowItems count="6">
    <i>
      <x/>
    </i>
    <i>
      <x v="1"/>
    </i>
    <i>
      <x v="2"/>
    </i>
    <i>
      <x v="3"/>
    </i>
    <i>
      <x v="4"/>
    </i>
    <i t="grand">
      <x/>
    </i>
  </rowItems>
  <colFields count="1">
    <field x="1"/>
  </colFields>
  <colItems count="5">
    <i>
      <x v="2"/>
    </i>
    <i>
      <x v="3"/>
    </i>
    <i>
      <x v="4"/>
    </i>
    <i>
      <x v="5"/>
    </i>
    <i>
      <x v="6"/>
    </i>
  </colItems>
  <dataFields count="1">
    <dataField name="Antal av F35" fld="35" subtotal="count" baseField="3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00000000-0007-0000-0800-00001D000000}" name="Pivottabell13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208:N216"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5"/>
        <item x="2"/>
        <item x="0"/>
        <item x="4"/>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4"/>
  </rowFields>
  <rowItems count="7">
    <i>
      <x/>
    </i>
    <i>
      <x v="1"/>
    </i>
    <i>
      <x v="2"/>
    </i>
    <i>
      <x v="3"/>
    </i>
    <i>
      <x v="4"/>
    </i>
    <i>
      <x v="5"/>
    </i>
    <i t="grand">
      <x/>
    </i>
  </rowItems>
  <colFields count="1">
    <field x="1"/>
  </colFields>
  <colItems count="5">
    <i>
      <x v="2"/>
    </i>
    <i>
      <x v="3"/>
    </i>
    <i>
      <x v="4"/>
    </i>
    <i>
      <x v="5"/>
    </i>
    <i>
      <x v="6"/>
    </i>
  </colItems>
  <dataFields count="1">
    <dataField name="Antal av I min skola är vi snälla och lyssnar på varandra" fld="44" subtotal="count" showDataAs="percentOfCol" baseField="0" baseItem="0" numFmtId="10"/>
  </dataFields>
  <formats count="2">
    <format dxfId="209">
      <pivotArea collapsedLevelsAreSubtotals="1" fieldPosition="0">
        <references count="2">
          <reference field="1" count="4" selected="0">
            <x v="2"/>
            <x v="3"/>
            <x v="4"/>
            <x v="5"/>
          </reference>
          <reference field="44" count="0"/>
        </references>
      </pivotArea>
    </format>
    <format dxfId="208">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00000000-0007-0000-0800-000051000000}" name="Pivottabell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120:U126"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axis="axisRow" dataField="1" showAll="0" defaultSubtotal="0">
      <items count="8">
        <item x="3"/>
        <item x="5"/>
        <item x="2"/>
        <item x="0"/>
        <item h="1" m="1" x="7"/>
        <item h="1" m="1" x="6"/>
        <item h="1" x="1"/>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6"/>
  </rowFields>
  <rowItems count="5">
    <i>
      <x/>
    </i>
    <i>
      <x v="1"/>
    </i>
    <i>
      <x v="2"/>
    </i>
    <i>
      <x v="3"/>
    </i>
    <i t="grand">
      <x/>
    </i>
  </rowItems>
  <colFields count="1">
    <field x="1"/>
  </colFields>
  <colItems count="5">
    <i>
      <x v="2"/>
    </i>
    <i>
      <x v="3"/>
    </i>
    <i>
      <x v="4"/>
    </i>
    <i>
      <x v="5"/>
    </i>
    <i>
      <x v="6"/>
    </i>
  </colItems>
  <dataFields count="1">
    <dataField name="Medel av Mina lärare vet vad jag ska lära mig" fld="36" subtotal="average" baseField="3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00000000-0007-0000-0800-000017000000}" name="Pivottabell12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186:U19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1"/>
        <item x="0"/>
        <item h="1" x="2"/>
        <item h="1" x="4"/>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2"/>
  </rowFields>
  <rowItems count="5">
    <i>
      <x/>
    </i>
    <i>
      <x v="1"/>
    </i>
    <i>
      <x v="2"/>
    </i>
    <i>
      <x v="5"/>
    </i>
    <i t="grand">
      <x/>
    </i>
  </rowItems>
  <colFields count="1">
    <field x="1"/>
  </colFields>
  <colItems count="5">
    <i>
      <x v="2"/>
    </i>
    <i>
      <x v="3"/>
    </i>
    <i>
      <x v="4"/>
    </i>
    <i>
      <x v="5"/>
    </i>
    <i>
      <x v="6"/>
    </i>
  </colItems>
  <dataFields count="1">
    <dataField name="Medel av Vi brukar prata om hur vi ska bemöta varandra" fld="42" subtotal="average" baseField="44" baseItem="0"/>
  </dataFields>
  <formats count="1">
    <format dxfId="2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0000000-0007-0000-0800-000061000000}" name="Pivottabell4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45:F5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x="1"/>
        <item x="4"/>
        <item x="2"/>
        <item x="5"/>
        <item h="1" m="1" x="8"/>
        <item h="1" x="3"/>
        <item h="1" m="1" x="7"/>
        <item h="1" m="1" x="6"/>
        <item t="default"/>
      </items>
    </pivotField>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2"/>
  </rowFields>
  <rowItems count="6">
    <i>
      <x/>
    </i>
    <i>
      <x v="1"/>
    </i>
    <i>
      <x v="2"/>
    </i>
    <i>
      <x v="3"/>
    </i>
    <i>
      <x v="4"/>
    </i>
    <i t="grand">
      <x/>
    </i>
  </rowItems>
  <colFields count="1">
    <field x="1"/>
  </colFields>
  <colItems count="5">
    <i>
      <x v="2"/>
    </i>
    <i>
      <x v="3"/>
    </i>
    <i>
      <x v="4"/>
    </i>
    <i>
      <x v="5"/>
    </i>
    <i>
      <x v="6"/>
    </i>
  </colItems>
  <dataFields count="1">
    <dataField name="Antal av F22" fld="22" subtotal="count" baseField="23"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00000000-0007-0000-0800-000026000000}" name="Pivottabell14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43:F251"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x="3"/>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7"/>
  </rowFields>
  <rowItems count="7">
    <i>
      <x/>
    </i>
    <i>
      <x v="1"/>
    </i>
    <i>
      <x v="2"/>
    </i>
    <i>
      <x v="3"/>
    </i>
    <i>
      <x v="4"/>
    </i>
    <i>
      <x v="5"/>
    </i>
    <i t="grand">
      <x/>
    </i>
  </rowItems>
  <colFields count="1">
    <field x="1"/>
  </colFields>
  <colItems count="5">
    <i>
      <x v="2"/>
    </i>
    <i>
      <x v="3"/>
    </i>
    <i>
      <x v="4"/>
    </i>
    <i>
      <x v="5"/>
    </i>
    <i>
      <x v="6"/>
    </i>
  </colItems>
  <dataFields count="1">
    <dataField name="Antal av Mina lärare säger ifrån om någon behandlas illa eller blir kränkt2"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00000000-0007-0000-0800-00001C000000}" name="Pivottabell13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208:F216"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5"/>
        <item x="2"/>
        <item x="0"/>
        <item x="4"/>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4"/>
  </rowFields>
  <rowItems count="7">
    <i>
      <x/>
    </i>
    <i>
      <x v="1"/>
    </i>
    <i>
      <x v="2"/>
    </i>
    <i>
      <x v="3"/>
    </i>
    <i>
      <x v="4"/>
    </i>
    <i>
      <x v="5"/>
    </i>
    <i t="grand">
      <x/>
    </i>
  </rowItems>
  <colFields count="1">
    <field x="1"/>
  </colFields>
  <colItems count="5">
    <i>
      <x v="2"/>
    </i>
    <i>
      <x v="3"/>
    </i>
    <i>
      <x v="4"/>
    </i>
    <i>
      <x v="5"/>
    </i>
    <i>
      <x v="6"/>
    </i>
  </colItems>
  <dataFields count="1">
    <dataField name="Antal av I min skola är vi snälla och lyssnar på varandra" fld="4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00000000-0007-0000-0800-00001B000000}" name="Pivottabell13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197:U20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4"/>
        <item x="3"/>
        <item x="1"/>
        <item h="1" x="0"/>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3"/>
  </rowFields>
  <rowItems count="5">
    <i>
      <x/>
    </i>
    <i>
      <x v="1"/>
    </i>
    <i>
      <x v="2"/>
    </i>
    <i>
      <x v="3"/>
    </i>
    <i t="grand">
      <x/>
    </i>
  </rowItems>
  <colFields count="1">
    <field x="1"/>
  </colFields>
  <colItems count="5">
    <i>
      <x v="2"/>
    </i>
    <i>
      <x v="3"/>
    </i>
    <i>
      <x v="4"/>
    </i>
    <i>
      <x v="5"/>
    </i>
    <i>
      <x v="6"/>
    </i>
  </colItems>
  <dataFields count="1">
    <dataField name="Medel av Ingen i skolan gör skillnad på tjejer eller killar" fld="43" subtotal="average" baseField="50" baseItem="0"/>
  </dataFields>
  <formats count="1">
    <format dxfId="21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800-000060000000}" name="Pivottabell43"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H45:M5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10">
        <item x="0"/>
        <item x="1"/>
        <item x="4"/>
        <item x="2"/>
        <item x="5"/>
        <item h="1" m="1" x="8"/>
        <item h="1" x="3"/>
        <item h="1" m="1" x="7"/>
        <item h="1" m="1" x="6"/>
        <item t="default"/>
      </items>
    </pivotField>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2"/>
  </rowFields>
  <rowItems count="6">
    <i>
      <x/>
    </i>
    <i>
      <x v="1"/>
    </i>
    <i>
      <x v="2"/>
    </i>
    <i>
      <x v="3"/>
    </i>
    <i>
      <x v="4"/>
    </i>
    <i t="grand">
      <x/>
    </i>
  </rowItems>
  <colFields count="1">
    <field x="1"/>
  </colFields>
  <colItems count="5">
    <i>
      <x v="2"/>
    </i>
    <i>
      <x v="3"/>
    </i>
    <i>
      <x v="4"/>
    </i>
    <i>
      <x v="5"/>
    </i>
    <i>
      <x v="6"/>
    </i>
  </colItems>
  <dataFields count="1">
    <dataField name="Antal av F22" fld="22" subtotal="count" showDataAs="percentOfCol" baseField="23" baseItem="5" numFmtId="9"/>
  </dataFields>
  <formats count="2">
    <format dxfId="127">
      <pivotArea outline="0" fieldPosition="0">
        <references count="1">
          <reference field="4294967294" count="1">
            <x v="0"/>
          </reference>
        </references>
      </pivotArea>
    </format>
    <format dxfId="1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00000000-0007-0000-0800-00000B000000}" name="Pivottabell11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53:F161"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4"/>
        <item x="3"/>
        <item x="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9"/>
  </rowFields>
  <rowItems count="7">
    <i>
      <x/>
    </i>
    <i>
      <x v="1"/>
    </i>
    <i>
      <x v="2"/>
    </i>
    <i>
      <x v="3"/>
    </i>
    <i>
      <x v="4"/>
    </i>
    <i>
      <x v="5"/>
    </i>
    <i t="grand">
      <x/>
    </i>
  </rowItems>
  <colFields count="1">
    <field x="1"/>
  </colFields>
  <colItems count="5">
    <i>
      <x v="2"/>
    </i>
    <i>
      <x v="3"/>
    </i>
    <i>
      <x v="4"/>
    </i>
    <i>
      <x v="5"/>
    </i>
    <i>
      <x v="6"/>
    </i>
  </colItems>
  <dataFields count="1">
    <dataField name="Antal av Jag får lära mig på olika sätt exempelvis läsa, lyssna, se film, skriva"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C6DD24AB-0FBF-43A0-AE42-38F3ECCB998E}" name="Pivottabell14"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363:K369" firstHeaderRow="1" firstDataRow="2" firstDataCol="1"/>
  <pivotFields count="60">
    <pivotField showAll="0" defaultSubtotal="0"/>
    <pivotField axis="axisCol" showAll="0" defaultSubtotal="0">
      <items count="7">
        <item h="1" m="1" x="6"/>
        <item h="1" m="1" x="5"/>
        <item h="1" x="0"/>
        <item h="1" x="1"/>
        <item h="1"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items count="4">
        <item x="2"/>
        <item x="1"/>
        <item x="0"/>
        <item t="default"/>
      </items>
    </pivotField>
    <pivotField axis="axisRow" dataField="1" showAll="0">
      <items count="5">
        <item x="1"/>
        <item x="3"/>
        <item x="2"/>
        <item x="0"/>
        <item t="default"/>
      </items>
    </pivotField>
    <pivotField showAll="0"/>
  </pivotFields>
  <rowFields count="1">
    <field x="58"/>
  </rowFields>
  <rowItems count="5">
    <i>
      <x/>
    </i>
    <i>
      <x v="1"/>
    </i>
    <i>
      <x v="2"/>
    </i>
    <i>
      <x v="3"/>
    </i>
    <i t="grand">
      <x/>
    </i>
  </rowItems>
  <colFields count="1">
    <field x="1"/>
  </colFields>
  <colItems count="2">
    <i>
      <x v="5"/>
    </i>
    <i>
      <x v="6"/>
    </i>
  </colItems>
  <dataFields count="1">
    <dataField name="Antal av Kan du prata med någon av dina föräldrar om du har problem eller oro" fld="58" subtotal="count" showDataAs="percentOfCol" baseField="0" baseItem="0" numFmtId="9"/>
  </dataFields>
  <formats count="5">
    <format dxfId="216">
      <pivotArea grandRow="1" outline="0" collapsedLevelsAreSubtotals="1" fieldPosition="0"/>
    </format>
    <format dxfId="215">
      <pivotArea outline="0" collapsedLevelsAreSubtotals="1" fieldPosition="0">
        <references count="1">
          <reference field="1" count="1" selected="0">
            <x v="5"/>
          </reference>
        </references>
      </pivotArea>
    </format>
    <format dxfId="214">
      <pivotArea outline="0" collapsedLevelsAreSubtotals="1" fieldPosition="0">
        <references count="1">
          <reference field="1" count="1" selected="0">
            <x v="6"/>
          </reference>
        </references>
      </pivotArea>
    </format>
    <format dxfId="213">
      <pivotArea outline="0" fieldPosition="0">
        <references count="1">
          <reference field="4294967294" count="1">
            <x v="0"/>
          </reference>
        </references>
      </pivotArea>
    </format>
    <format dxfId="2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00000000-0007-0000-0800-000066000000}" name="Pivottabell4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H83:M90"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9">
        <item x="5"/>
        <item x="4"/>
        <item x="0"/>
        <item x="2"/>
        <item x="3"/>
        <item h="1" m="1" x="7"/>
        <item h="1" x="1"/>
        <item h="1" m="1" x="6"/>
        <item t="default"/>
      </items>
    </pivotField>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7"/>
  </rowFields>
  <rowItems count="6">
    <i>
      <x/>
    </i>
    <i>
      <x v="1"/>
    </i>
    <i>
      <x v="2"/>
    </i>
    <i>
      <x v="3"/>
    </i>
    <i>
      <x v="4"/>
    </i>
    <i t="grand">
      <x/>
    </i>
  </rowItems>
  <colFields count="1">
    <field x="1"/>
  </colFields>
  <colItems count="5">
    <i>
      <x v="2"/>
    </i>
    <i>
      <x v="3"/>
    </i>
    <i>
      <x v="4"/>
    </i>
    <i>
      <x v="5"/>
    </i>
    <i>
      <x v="6"/>
    </i>
  </colItems>
  <dataFields count="1">
    <dataField name="Antal av F27" fld="27" subtotal="count" showDataAs="percentOfCol" baseField="28" baseItem="5" numFmtId="9"/>
  </dataFields>
  <formats count="2">
    <format dxfId="218">
      <pivotArea outline="0" fieldPosition="0">
        <references count="1">
          <reference field="4294967294" count="1">
            <x v="0"/>
          </reference>
        </references>
      </pivotArea>
    </format>
    <format dxfId="2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00000000-0007-0000-0800-000015000000}" name="Pivottabell12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A186:F19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1"/>
        <item x="0"/>
        <item x="2"/>
        <item x="4"/>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2"/>
  </rowFields>
  <rowItems count="7">
    <i>
      <x/>
    </i>
    <i>
      <x v="1"/>
    </i>
    <i>
      <x v="2"/>
    </i>
    <i>
      <x v="3"/>
    </i>
    <i>
      <x v="4"/>
    </i>
    <i>
      <x v="5"/>
    </i>
    <i t="grand">
      <x/>
    </i>
  </rowItems>
  <colFields count="1">
    <field x="1"/>
  </colFields>
  <colItems count="5">
    <i>
      <x v="2"/>
    </i>
    <i>
      <x v="3"/>
    </i>
    <i>
      <x v="4"/>
    </i>
    <i>
      <x v="5"/>
    </i>
    <i>
      <x v="6"/>
    </i>
  </colItems>
  <dataFields count="1">
    <dataField name="Antal av Vi brukar prata om hur vi ska bemöta varandra"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00000000-0007-0000-0800-000038000000}" name="Pivottabell159"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298:U304"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1"/>
        <item h="1" x="0"/>
        <item h="1" x="5"/>
        <item x="4"/>
      </items>
    </pivotField>
    <pivotField showAll="0" defaultSubtotal="0"/>
    <pivotField showAll="0" defaultSubtotal="0"/>
    <pivotField showAll="0" defaultSubtotal="0"/>
    <pivotField showAll="0"/>
    <pivotField showAll="0"/>
    <pivotField showAll="0"/>
    <pivotField showAll="0"/>
  </pivotFields>
  <rowFields count="1">
    <field x="52"/>
  </rowFields>
  <rowItems count="5">
    <i>
      <x/>
    </i>
    <i>
      <x v="1"/>
    </i>
    <i>
      <x v="2"/>
    </i>
    <i>
      <x v="5"/>
    </i>
    <i t="grand">
      <x/>
    </i>
  </rowItems>
  <colFields count="1">
    <field x="1"/>
  </colFields>
  <colItems count="5">
    <i>
      <x v="2"/>
    </i>
    <i>
      <x v="3"/>
    </i>
    <i>
      <x v="4"/>
    </i>
    <i>
      <x v="5"/>
    </i>
    <i>
      <x v="6"/>
    </i>
  </colItems>
  <dataFields count="1">
    <dataField name="Medel av Skolrestaurangen har en miljö som är trivsam att vara i " fld="5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00000000-0007-0000-0800-00008B000000}" name="Pivottabell82"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O17:T23"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axis="axisRow" dataField="1" showAll="0">
      <items count="8">
        <item x="5"/>
        <item x="3"/>
        <item x="2"/>
        <item x="0"/>
        <item h="1" x="4"/>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7"/>
  </rowFields>
  <rowItems count="5">
    <i>
      <x/>
    </i>
    <i>
      <x v="1"/>
    </i>
    <i>
      <x v="2"/>
    </i>
    <i>
      <x v="3"/>
    </i>
    <i t="grand">
      <x/>
    </i>
  </rowItems>
  <colFields count="1">
    <field x="1"/>
  </colFields>
  <colItems count="5">
    <i>
      <x v="2"/>
    </i>
    <i>
      <x v="3"/>
    </i>
    <i>
      <x v="4"/>
    </i>
    <i>
      <x v="5"/>
    </i>
    <i>
      <x v="6"/>
    </i>
  </colItems>
  <dataFields count="1">
    <dataField name="Medel av F7" fld="7" subtotal="average" baseField="8" baseItem="1" numFmtId="2"/>
  </dataFields>
  <formats count="2">
    <format dxfId="220">
      <pivotArea outline="0" collapsedLevelsAreSubtotals="1" fieldPosition="0"/>
    </format>
    <format dxfId="219">
      <pivotArea field="1"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00000000-0007-0000-0800-000041000000}" name="Pivottabell167"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332:N339"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3"/>
        <item x="0"/>
        <item x="2"/>
        <item h="1" x="6"/>
        <item h="1" x="1"/>
      </items>
    </pivotField>
    <pivotField showAll="0"/>
    <pivotField showAll="0"/>
    <pivotField showAll="0"/>
    <pivotField showAll="0"/>
  </pivotFields>
  <rowFields count="1">
    <field x="55"/>
  </rowFields>
  <rowItems count="6">
    <i>
      <x/>
    </i>
    <i>
      <x v="1"/>
    </i>
    <i>
      <x v="2"/>
    </i>
    <i>
      <x v="3"/>
    </i>
    <i>
      <x v="4"/>
    </i>
    <i t="grand">
      <x/>
    </i>
  </rowItems>
  <colFields count="1">
    <field x="1"/>
  </colFields>
  <colItems count="5">
    <i>
      <x v="2"/>
    </i>
    <i>
      <x v="3"/>
    </i>
    <i>
      <x v="4"/>
    </i>
    <i>
      <x v="5"/>
    </i>
    <i>
      <x v="6"/>
    </i>
  </colItems>
  <dataFields count="1">
    <dataField name="Antal av Jag får veta vad man kan göra efter studenten " fld="55" subtotal="count" showDataAs="percentOfCol" baseField="0" baseItem="0" numFmtId="10"/>
  </dataFields>
  <formats count="2">
    <format dxfId="222">
      <pivotArea collapsedLevelsAreSubtotals="1" fieldPosition="0">
        <references count="1">
          <reference field="55" count="0"/>
        </references>
      </pivotArea>
    </format>
    <format dxfId="22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00000000-0007-0000-0800-00005E000000}" name="Pivottabell41"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H58:M65"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9">
        <item x="0"/>
        <item x="4"/>
        <item x="3"/>
        <item x="1"/>
        <item x="2"/>
        <item h="1" x="5"/>
        <item h="1" m="1" x="7"/>
        <item h="1" x="6"/>
        <item t="default"/>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3"/>
  </rowFields>
  <rowItems count="6">
    <i>
      <x/>
    </i>
    <i>
      <x v="1"/>
    </i>
    <i>
      <x v="2"/>
    </i>
    <i>
      <x v="3"/>
    </i>
    <i>
      <x v="4"/>
    </i>
    <i t="grand">
      <x/>
    </i>
  </rowItems>
  <colFields count="1">
    <field x="1"/>
  </colFields>
  <colItems count="5">
    <i>
      <x v="2"/>
    </i>
    <i>
      <x v="3"/>
    </i>
    <i>
      <x v="4"/>
    </i>
    <i>
      <x v="5"/>
    </i>
    <i>
      <x v="6"/>
    </i>
  </colItems>
  <dataFields count="1">
    <dataField name="Antal av F23" fld="23" subtotal="count" showDataAs="percentOfCol" baseField="24" baseItem="4" numFmtId="9"/>
  </dataFields>
  <formats count="2">
    <format dxfId="224">
      <pivotArea outline="0" fieldPosition="0">
        <references count="1">
          <reference field="4294967294" count="1">
            <x v="0"/>
          </reference>
        </references>
      </pivotArea>
    </format>
    <format dxfId="2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00000000-0007-0000-0800-000010000000}" name="Pivottabell12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I164:N172"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5"/>
        <item x="3"/>
        <item x="0"/>
        <item x="4"/>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0"/>
  </rowFields>
  <rowItems count="7">
    <i>
      <x/>
    </i>
    <i>
      <x v="1"/>
    </i>
    <i>
      <x v="2"/>
    </i>
    <i>
      <x v="3"/>
    </i>
    <i>
      <x v="4"/>
    </i>
    <i>
      <x v="5"/>
    </i>
    <i t="grand">
      <x/>
    </i>
  </rowItems>
  <colFields count="1">
    <field x="1"/>
  </colFields>
  <colItems count="5">
    <i>
      <x v="2"/>
    </i>
    <i>
      <x v="3"/>
    </i>
    <i>
      <x v="4"/>
    </i>
    <i>
      <x v="5"/>
    </i>
    <i>
      <x v="6"/>
    </i>
  </colItems>
  <dataFields count="1">
    <dataField name="Antal av På lektionerna pratar vi om sådant som vi hört och läst" fld="40" subtotal="count" showDataAs="percentOfCol" baseField="0" baseItem="0" numFmtId="10"/>
  </dataFields>
  <formats count="2">
    <format dxfId="226">
      <pivotArea collapsedLevelsAreSubtotals="1" fieldPosition="0">
        <references count="1">
          <reference field="40" count="0"/>
        </references>
      </pivotArea>
    </format>
    <format dxfId="225">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00000000-0007-0000-0800-000007000000}" name="Pivottabell110" cacheId="18" applyNumberFormats="0" applyBorderFormats="0" applyFontFormats="0" applyPatternFormats="0" applyAlignmentFormats="0" applyWidthHeightFormats="1" dataCaption="Värden" updatedVersion="6" minRefreshableVersion="3" useAutoFormatting="1" colGrandTotals="0" itemPrintTitles="1" createdVersion="4" indent="0" outline="1" outlineData="1" multipleFieldFilters="0" rowHeaderCaption=" " colHeaderCaption="  ">
  <location ref="P131:U137" firstHeaderRow="1" firstDataRow="2" firstDataCol="1"/>
  <pivotFields count="60">
    <pivotField showAll="0" defaultSubtotal="0"/>
    <pivotField axis="axisCol" showAll="0" defaultSubtotal="0">
      <items count="7">
        <item m="1" x="6"/>
        <item m="1" x="5"/>
        <item x="0"/>
        <item x="1"/>
        <item x="2"/>
        <item x="3"/>
        <item x="4"/>
      </items>
    </pivotField>
    <pivotField showAll="0">
      <items count="16">
        <item m="1" x="10"/>
        <item m="1" x="12"/>
        <item m="1" x="14"/>
        <item x="1"/>
        <item m="1" x="13"/>
        <item m="1" x="7"/>
        <item m="1" x="11"/>
        <item x="2"/>
        <item m="1" x="6"/>
        <item x="4"/>
        <item m="1" x="8"/>
        <item x="0"/>
        <item m="1" x="9"/>
        <item m="1" x="5"/>
        <item x="3"/>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8">
        <item x="4"/>
        <item x="5"/>
        <item x="2"/>
        <item x="1"/>
        <item h="1" m="1" x="7"/>
        <item h="1" m="1" x="6"/>
        <item h="1" x="3"/>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7"/>
  </rowFields>
  <rowItems count="5">
    <i>
      <x/>
    </i>
    <i>
      <x v="1"/>
    </i>
    <i>
      <x v="2"/>
    </i>
    <i>
      <x v="3"/>
    </i>
    <i t="grand">
      <x/>
    </i>
  </rowItems>
  <colFields count="1">
    <field x="1"/>
  </colFields>
  <colItems count="5">
    <i>
      <x v="2"/>
    </i>
    <i>
      <x v="3"/>
    </i>
    <i>
      <x v="4"/>
    </i>
    <i>
      <x v="5"/>
    </i>
    <i>
      <x v="6"/>
    </i>
  </colItems>
  <dataFields count="1">
    <dataField name="Medel av När jag vill lära mig mer får jag nya uppgifter" fld="37" subtotal="average" baseField="39" baseItem="0"/>
  </dataFields>
  <formats count="1">
    <format dxfId="22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2" xr10:uid="{00000000-0013-0000-FFFF-FFFF01000000}" sourceName="F2">
  <pivotTables>
    <pivotTable tabId="14" name="Pivottabell128"/>
    <pivotTable tabId="14" name="Pivottabell1"/>
    <pivotTable tabId="14" name="Pivottabell101"/>
    <pivotTable tabId="14" name="Pivottabell108"/>
    <pivotTable tabId="14" name="Pivottabell109"/>
    <pivotTable tabId="14" name="Pivottabell11"/>
    <pivotTable tabId="14" name="Pivottabell110"/>
    <pivotTable tabId="14" name="Pivottabell111"/>
    <pivotTable tabId="14" name="Pivottabell112"/>
    <pivotTable tabId="14" name="Pivottabell113"/>
    <pivotTable tabId="14" name="Pivottabell114"/>
    <pivotTable tabId="14" name="Pivottabell115"/>
    <pivotTable tabId="14" name="Pivottabell117"/>
    <pivotTable tabId="14" name="Pivottabell118"/>
    <pivotTable tabId="14" name="Pivottabell12"/>
    <pivotTable tabId="14" name="Pivottabell120"/>
    <pivotTable tabId="14" name="Pivottabell121"/>
    <pivotTable tabId="14" name="Pivottabell124"/>
    <pivotTable tabId="14" name="Pivottabell125"/>
    <pivotTable tabId="14" name="Pivottabell126"/>
    <pivotTable tabId="14" name="Pivottabell127"/>
    <pivotTable tabId="14" name="Pivottabell129"/>
    <pivotTable tabId="14" name="Pivottabell130"/>
    <pivotTable tabId="14" name="Pivottabell131"/>
    <pivotTable tabId="14" name="Pivottabell132"/>
    <pivotTable tabId="14" name="Pivottabell133"/>
    <pivotTable tabId="14" name="Pivottabell134"/>
    <pivotTable tabId="14" name="Pivottabell135"/>
    <pivotTable tabId="14" name="Pivottabell136"/>
    <pivotTable tabId="14" name="Pivottabell137"/>
    <pivotTable tabId="14" name="Pivottabell138"/>
    <pivotTable tabId="14" name="Pivottabell139"/>
    <pivotTable tabId="14" name="Pivottabell140"/>
    <pivotTable tabId="14" name="Pivottabell141"/>
    <pivotTable tabId="14" name="Pivottabell142"/>
    <pivotTable tabId="14" name="Pivottabell143"/>
    <pivotTable tabId="14" name="Pivottabell144"/>
    <pivotTable tabId="14" name="Pivottabell145"/>
    <pivotTable tabId="14" name="Pivottabell146"/>
    <pivotTable tabId="14" name="Pivottabell147"/>
    <pivotTable tabId="14" name="Pivottabell148"/>
    <pivotTable tabId="14" name="Pivottabell149"/>
    <pivotTable tabId="14" name="Pivottabell15"/>
    <pivotTable tabId="14" name="Pivottabell150"/>
    <pivotTable tabId="14" name="Pivottabell151"/>
    <pivotTable tabId="14" name="Pivottabell152"/>
    <pivotTable tabId="14" name="Pivottabell153"/>
    <pivotTable tabId="14" name="Pivottabell154"/>
    <pivotTable tabId="14" name="Pivottabell155"/>
    <pivotTable tabId="14" name="Pivottabell156"/>
    <pivotTable tabId="14" name="Pivottabell157"/>
    <pivotTable tabId="14" name="Pivottabell158"/>
    <pivotTable tabId="14" name="Pivottabell159"/>
    <pivotTable tabId="14" name="Pivottabell16"/>
    <pivotTable tabId="14" name="Pivottabell160"/>
    <pivotTable tabId="14" name="Pivottabell161"/>
    <pivotTable tabId="14" name="Pivottabell162"/>
    <pivotTable tabId="14" name="Pivottabell163"/>
    <pivotTable tabId="14" name="Pivottabell164"/>
    <pivotTable tabId="14" name="Pivottabell165"/>
    <pivotTable tabId="14" name="Pivottabell166"/>
    <pivotTable tabId="14" name="Pivottabell167"/>
    <pivotTable tabId="14" name="Pivottabell168"/>
    <pivotTable tabId="14" name="Pivottabell2"/>
    <pivotTable tabId="14" name="Pivottabell3"/>
    <pivotTable tabId="14" name="Pivottabell41"/>
    <pivotTable tabId="14" name="Pivottabell42"/>
    <pivotTable tabId="14" name="Pivottabell43"/>
    <pivotTable tabId="14" name="Pivottabell44"/>
    <pivotTable tabId="14" name="Pivottabell47"/>
    <pivotTable tabId="14" name="Pivottabell48"/>
    <pivotTable tabId="14" name="Pivottabell49"/>
    <pivotTable tabId="14" name="Pivottabell50"/>
    <pivotTable tabId="14" name="Pivottabell63"/>
    <pivotTable tabId="14" name="Pivottabell64"/>
    <pivotTable tabId="14" name="Pivottabell66"/>
    <pivotTable tabId="14" name="Pivottabell67"/>
    <pivotTable tabId="14" name="Pivottabell80"/>
    <pivotTable tabId="14" name="Pivottabell82"/>
    <pivotTable tabId="14" name="Pivottabell89"/>
    <pivotTable tabId="14" name="Pivottabell90"/>
    <pivotTable tabId="14" name="Pivottabell91"/>
    <pivotTable tabId="14" name="Pivottabell92"/>
    <pivotTable tabId="14" name="Pivottabell96"/>
    <pivotTable tabId="14" name="Pivottabell97"/>
    <pivotTable tabId="14" name="Pivottabell4"/>
    <pivotTable tabId="14" name="Pivottabell102"/>
    <pivotTable tabId="14" name="Pivottabell5"/>
    <pivotTable tabId="14" name="Pivottabell6"/>
    <pivotTable tabId="14" name="Pivottabell7"/>
    <pivotTable tabId="14" name="Pivottabell8"/>
    <pivotTable tabId="14" name="Pivottabell9"/>
    <pivotTable tabId="14" name="Pivottabell10"/>
    <pivotTable tabId="14" name="Pivottabell13"/>
    <pivotTable tabId="14" name="Pivottabell14"/>
    <pivotTable tabId="14" name="Pivottabell17"/>
    <pivotTable tabId="14" name="Pivottabell18"/>
    <pivotTable tabId="14" name="Pivottabell19"/>
    <pivotTable tabId="14" name="Pivottabell20"/>
  </pivotTables>
  <data>
    <tabular pivotCacheId="2" showMissing="0">
      <items count="15">
        <i x="1" s="1"/>
        <i x="2" s="1"/>
        <i x="4" s="1"/>
        <i x="0" s="1"/>
        <i x="3" s="1"/>
        <i x="10" s="1" nd="1"/>
        <i x="12" s="1" nd="1"/>
        <i x="14" s="1" nd="1"/>
        <i x="13" s="1" nd="1"/>
        <i x="7" s="1" nd="1"/>
        <i x="11" s="1" nd="1"/>
        <i x="6" s="1" nd="1"/>
        <i x="8" s="1" nd="1"/>
        <i x="9" s="1" nd="1"/>
        <i x="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 xr10:uid="{00000000-0013-0000-FFFF-FFFF02000000}" sourceName="Kön">
  <pivotTables>
    <pivotTable tabId="14" name="Pivottabell4"/>
    <pivotTable tabId="14" name="Pivottabell1"/>
    <pivotTable tabId="14" name="Pivottabell101"/>
    <pivotTable tabId="14" name="Pivottabell108"/>
    <pivotTable tabId="14" name="Pivottabell109"/>
    <pivotTable tabId="14" name="Pivottabell11"/>
    <pivotTable tabId="14" name="Pivottabell110"/>
    <pivotTable tabId="14" name="Pivottabell111"/>
    <pivotTable tabId="14" name="Pivottabell112"/>
    <pivotTable tabId="14" name="Pivottabell113"/>
    <pivotTable tabId="14" name="Pivottabell114"/>
    <pivotTable tabId="14" name="Pivottabell115"/>
    <pivotTable tabId="14" name="Pivottabell117"/>
    <pivotTable tabId="14" name="Pivottabell118"/>
    <pivotTable tabId="14" name="Pivottabell12"/>
    <pivotTable tabId="14" name="Pivottabell120"/>
    <pivotTable tabId="14" name="Pivottabell121"/>
    <pivotTable tabId="14" name="Pivottabell124"/>
    <pivotTable tabId="14" name="Pivottabell125"/>
    <pivotTable tabId="14" name="Pivottabell126"/>
    <pivotTable tabId="14" name="Pivottabell127"/>
    <pivotTable tabId="14" name="Pivottabell128"/>
    <pivotTable tabId="14" name="Pivottabell129"/>
    <pivotTable tabId="14" name="Pivottabell130"/>
    <pivotTable tabId="14" name="Pivottabell131"/>
    <pivotTable tabId="14" name="Pivottabell132"/>
    <pivotTable tabId="14" name="Pivottabell133"/>
    <pivotTable tabId="14" name="Pivottabell134"/>
    <pivotTable tabId="14" name="Pivottabell135"/>
    <pivotTable tabId="14" name="Pivottabell136"/>
    <pivotTable tabId="14" name="Pivottabell137"/>
    <pivotTable tabId="14" name="Pivottabell138"/>
    <pivotTable tabId="14" name="Pivottabell139"/>
    <pivotTable tabId="14" name="Pivottabell140"/>
    <pivotTable tabId="14" name="Pivottabell141"/>
    <pivotTable tabId="14" name="Pivottabell142"/>
    <pivotTable tabId="14" name="Pivottabell143"/>
    <pivotTable tabId="14" name="Pivottabell144"/>
    <pivotTable tabId="14" name="Pivottabell145"/>
    <pivotTable tabId="14" name="Pivottabell146"/>
    <pivotTable tabId="14" name="Pivottabell147"/>
    <pivotTable tabId="14" name="Pivottabell148"/>
    <pivotTable tabId="14" name="Pivottabell149"/>
    <pivotTable tabId="14" name="Pivottabell15"/>
    <pivotTable tabId="14" name="Pivottabell150"/>
    <pivotTable tabId="14" name="Pivottabell151"/>
    <pivotTable tabId="14" name="Pivottabell152"/>
    <pivotTable tabId="14" name="Pivottabell153"/>
    <pivotTable tabId="14" name="Pivottabell154"/>
    <pivotTable tabId="14" name="Pivottabell155"/>
    <pivotTable tabId="14" name="Pivottabell156"/>
    <pivotTable tabId="14" name="Pivottabell157"/>
    <pivotTable tabId="14" name="Pivottabell158"/>
    <pivotTable tabId="14" name="Pivottabell159"/>
    <pivotTable tabId="14" name="Pivottabell16"/>
    <pivotTable tabId="14" name="Pivottabell160"/>
    <pivotTable tabId="14" name="Pivottabell161"/>
    <pivotTable tabId="14" name="Pivottabell162"/>
    <pivotTable tabId="14" name="Pivottabell163"/>
    <pivotTable tabId="14" name="Pivottabell164"/>
    <pivotTable tabId="14" name="Pivottabell165"/>
    <pivotTable tabId="14" name="Pivottabell166"/>
    <pivotTable tabId="14" name="Pivottabell167"/>
    <pivotTable tabId="14" name="Pivottabell168"/>
    <pivotTable tabId="14" name="Pivottabell2"/>
    <pivotTable tabId="14" name="Pivottabell3"/>
    <pivotTable tabId="14" name="Pivottabell41"/>
    <pivotTable tabId="14" name="Pivottabell42"/>
    <pivotTable tabId="14" name="Pivottabell43"/>
    <pivotTable tabId="14" name="Pivottabell44"/>
    <pivotTable tabId="14" name="Pivottabell47"/>
    <pivotTable tabId="14" name="Pivottabell48"/>
    <pivotTable tabId="14" name="Pivottabell49"/>
    <pivotTable tabId="14" name="Pivottabell50"/>
    <pivotTable tabId="14" name="Pivottabell63"/>
    <pivotTable tabId="14" name="Pivottabell64"/>
    <pivotTable tabId="14" name="Pivottabell66"/>
    <pivotTable tabId="14" name="Pivottabell67"/>
    <pivotTable tabId="14" name="Pivottabell80"/>
    <pivotTable tabId="14" name="Pivottabell82"/>
    <pivotTable tabId="14" name="Pivottabell89"/>
    <pivotTable tabId="14" name="Pivottabell90"/>
    <pivotTable tabId="14" name="Pivottabell91"/>
    <pivotTable tabId="14" name="Pivottabell92"/>
    <pivotTable tabId="14" name="Pivottabell96"/>
    <pivotTable tabId="14" name="Pivottabell97"/>
    <pivotTable tabId="14" name="Pivottabell102"/>
    <pivotTable tabId="14" name="Pivottabell5"/>
    <pivotTable tabId="14" name="Pivottabell6"/>
    <pivotTable tabId="14" name="Pivottabell7"/>
    <pivotTable tabId="14" name="Pivottabell8"/>
    <pivotTable tabId="14" name="Pivottabell9"/>
    <pivotTable tabId="14" name="Pivottabell10"/>
    <pivotTable tabId="14" name="Pivottabell13"/>
    <pivotTable tabId="14" name="Pivottabell14"/>
    <pivotTable tabId="14" name="Pivottabell17"/>
    <pivotTable tabId="14" name="Pivottabell18"/>
    <pivotTable tabId="14" name="Pivottabell19"/>
    <pivotTable tabId="14" name="Pivottabell20"/>
  </pivotTables>
  <data>
    <tabular pivotCacheId="2">
      <items count="4">
        <i x="2" s="1"/>
        <i x="0" s="1"/>
        <i x="1"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21" xr10:uid="{05290F25-65AC-40F3-9DC0-D5F0CFE72E9D}" sourceName="F2">
  <pivotTables>
    <pivotTable tabId="19" name="Pivottabell1"/>
    <pivotTable tabId="19" name="Pivottabell10"/>
    <pivotTable tabId="19" name="Pivottabell11"/>
    <pivotTable tabId="19" name="Pivottabell12"/>
    <pivotTable tabId="19" name="Pivottabell13"/>
    <pivotTable tabId="19" name="Pivottabell14"/>
    <pivotTable tabId="19" name="Pivottabell15"/>
    <pivotTable tabId="19" name="Pivottabell16"/>
    <pivotTable tabId="19" name="Pivottabell17"/>
    <pivotTable tabId="19" name="Pivottabell18"/>
    <pivotTable tabId="19" name="Pivottabell19"/>
    <pivotTable tabId="19" name="Pivottabell2"/>
    <pivotTable tabId="19" name="Pivottabell20"/>
    <pivotTable tabId="19" name="Pivottabell21"/>
    <pivotTable tabId="19" name="Pivottabell22"/>
    <pivotTable tabId="19" name="Pivottabell23"/>
    <pivotTable tabId="19" name="Pivottabell24"/>
    <pivotTable tabId="19" name="Pivottabell25"/>
    <pivotTable tabId="19" name="Pivottabell26"/>
    <pivotTable tabId="19" name="Pivottabell27"/>
    <pivotTable tabId="19" name="Pivottabell28"/>
    <pivotTable tabId="19" name="Pivottabell29"/>
    <pivotTable tabId="19" name="Pivottabell3"/>
    <pivotTable tabId="19" name="Pivottabell30"/>
    <pivotTable tabId="19" name="Pivottabell31"/>
    <pivotTable tabId="19" name="Pivottabell32"/>
    <pivotTable tabId="19" name="Pivottabell33"/>
    <pivotTable tabId="19" name="Pivottabell34"/>
    <pivotTable tabId="19" name="Pivottabell35"/>
    <pivotTable tabId="19" name="Pivottabell36"/>
    <pivotTable tabId="19" name="Pivottabell37"/>
    <pivotTable tabId="19" name="Pivottabell38"/>
    <pivotTable tabId="19" name="Pivottabell39"/>
    <pivotTable tabId="19" name="Pivottabell4"/>
    <pivotTable tabId="19" name="Pivottabell40"/>
    <pivotTable tabId="19" name="Pivottabell41"/>
    <pivotTable tabId="19" name="Pivottabell42"/>
    <pivotTable tabId="19" name="Pivottabell43"/>
    <pivotTable tabId="19" name="Pivottabell44"/>
    <pivotTable tabId="19" name="Pivottabell45"/>
    <pivotTable tabId="19" name="Pivottabell46"/>
    <pivotTable tabId="19" name="Pivottabell47"/>
    <pivotTable tabId="19" name="Pivottabell48"/>
    <pivotTable tabId="19" name="Pivottabell49"/>
    <pivotTable tabId="19" name="Pivottabell5"/>
    <pivotTable tabId="19" name="Pivottabell50"/>
    <pivotTable tabId="19" name="Pivottabell51"/>
    <pivotTable tabId="19" name="Pivottabell52"/>
    <pivotTable tabId="19" name="Pivottabell53"/>
    <pivotTable tabId="19" name="Pivottabell54"/>
    <pivotTable tabId="19" name="Pivottabell55"/>
    <pivotTable tabId="19" name="Pivottabell56"/>
    <pivotTable tabId="19" name="Pivottabell57"/>
    <pivotTable tabId="19" name="Pivottabell58"/>
    <pivotTable tabId="19" name="Pivottabell59"/>
    <pivotTable tabId="19" name="Pivottabell6"/>
    <pivotTable tabId="19" name="Pivottabell60"/>
    <pivotTable tabId="19" name="Pivottabell61"/>
    <pivotTable tabId="19" name="Pivottabell62"/>
    <pivotTable tabId="19" name="Pivottabell63"/>
    <pivotTable tabId="19" name="Pivottabell64"/>
    <pivotTable tabId="19" name="Pivottabell65"/>
    <pivotTable tabId="19" name="Pivottabell66"/>
    <pivotTable tabId="19" name="Pivottabell67"/>
    <pivotTable tabId="19" name="Pivottabell68"/>
    <pivotTable tabId="19" name="Pivottabell7"/>
    <pivotTable tabId="19" name="Pivottabell71"/>
    <pivotTable tabId="19" name="Pivottabell72"/>
    <pivotTable tabId="19" name="Pivottabell73"/>
    <pivotTable tabId="19" name="Pivottabell74"/>
    <pivotTable tabId="19" name="Pivottabell75"/>
    <pivotTable tabId="19" name="Pivottabell76"/>
    <pivotTable tabId="19" name="Pivottabell77"/>
    <pivotTable tabId="19" name="Pivottabell78"/>
    <pivotTable tabId="19" name="Pivottabell79"/>
    <pivotTable tabId="19" name="Pivottabell8"/>
    <pivotTable tabId="19" name="Pivottabell80"/>
    <pivotTable tabId="19" name="Pivottabell81"/>
    <pivotTable tabId="19" name="Pivottabell82"/>
    <pivotTable tabId="19" name="Pivottabell83"/>
    <pivotTable tabId="19" name="Pivottabell84"/>
    <pivotTable tabId="19" name="Pivottabell85"/>
    <pivotTable tabId="19" name="Pivottabell86"/>
    <pivotTable tabId="19" name="Pivottabell87"/>
    <pivotTable tabId="19" name="Pivottabell9"/>
    <pivotTable tabId="19" name="Pivottabell69"/>
  </pivotTables>
  <data>
    <tabular pivotCacheId="45261387" showMissing="0">
      <items count="10">
        <i x="0" s="1"/>
        <i x="1" s="1"/>
        <i x="2" s="1"/>
        <i x="4" s="1"/>
        <i x="3" s="1"/>
        <i x="9" s="1" nd="1"/>
        <i x="5" s="1" nd="1"/>
        <i x="7" s="1" nd="1"/>
        <i x="8" s="1" nd="1"/>
        <i x="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1" xr10:uid="{9BC78B56-22D8-4B3A-930D-26BD3DE36323}" sourceName="Kön">
  <pivotTables>
    <pivotTable tabId="19" name="Pivottabell3"/>
    <pivotTable tabId="19" name="Pivottabell1"/>
    <pivotTable tabId="19" name="Pivottabell10"/>
    <pivotTable tabId="19" name="Pivottabell11"/>
    <pivotTable tabId="19" name="Pivottabell12"/>
    <pivotTable tabId="19" name="Pivottabell13"/>
    <pivotTable tabId="19" name="Pivottabell14"/>
    <pivotTable tabId="19" name="Pivottabell15"/>
    <pivotTable tabId="19" name="Pivottabell16"/>
    <pivotTable tabId="19" name="Pivottabell17"/>
    <pivotTable tabId="19" name="Pivottabell18"/>
    <pivotTable tabId="19" name="Pivottabell19"/>
    <pivotTable tabId="19" name="Pivottabell2"/>
    <pivotTable tabId="19" name="Pivottabell20"/>
    <pivotTable tabId="19" name="Pivottabell21"/>
    <pivotTable tabId="19" name="Pivottabell22"/>
    <pivotTable tabId="19" name="Pivottabell23"/>
    <pivotTable tabId="19" name="Pivottabell24"/>
    <pivotTable tabId="19" name="Pivottabell25"/>
    <pivotTable tabId="19" name="Pivottabell26"/>
    <pivotTable tabId="19" name="Pivottabell27"/>
    <pivotTable tabId="19" name="Pivottabell28"/>
    <pivotTable tabId="19" name="Pivottabell29"/>
    <pivotTable tabId="19" name="Pivottabell30"/>
    <pivotTable tabId="19" name="Pivottabell31"/>
    <pivotTable tabId="19" name="Pivottabell32"/>
    <pivotTable tabId="19" name="Pivottabell33"/>
    <pivotTable tabId="19" name="Pivottabell34"/>
    <pivotTable tabId="19" name="Pivottabell35"/>
    <pivotTable tabId="19" name="Pivottabell36"/>
    <pivotTable tabId="19" name="Pivottabell37"/>
    <pivotTable tabId="19" name="Pivottabell38"/>
    <pivotTable tabId="19" name="Pivottabell39"/>
    <pivotTable tabId="19" name="Pivottabell4"/>
    <pivotTable tabId="19" name="Pivottabell40"/>
    <pivotTable tabId="19" name="Pivottabell41"/>
    <pivotTable tabId="19" name="Pivottabell42"/>
    <pivotTable tabId="19" name="Pivottabell43"/>
    <pivotTable tabId="19" name="Pivottabell44"/>
    <pivotTable tabId="19" name="Pivottabell45"/>
    <pivotTable tabId="19" name="Pivottabell46"/>
    <pivotTable tabId="19" name="Pivottabell47"/>
    <pivotTable tabId="19" name="Pivottabell48"/>
    <pivotTable tabId="19" name="Pivottabell49"/>
    <pivotTable tabId="19" name="Pivottabell5"/>
    <pivotTable tabId="19" name="Pivottabell50"/>
    <pivotTable tabId="19" name="Pivottabell51"/>
    <pivotTable tabId="19" name="Pivottabell52"/>
    <pivotTable tabId="19" name="Pivottabell53"/>
    <pivotTable tabId="19" name="Pivottabell54"/>
    <pivotTable tabId="19" name="Pivottabell55"/>
    <pivotTable tabId="19" name="Pivottabell56"/>
    <pivotTable tabId="19" name="Pivottabell57"/>
    <pivotTable tabId="19" name="Pivottabell58"/>
    <pivotTable tabId="19" name="Pivottabell59"/>
    <pivotTable tabId="19" name="Pivottabell6"/>
    <pivotTable tabId="19" name="Pivottabell60"/>
    <pivotTable tabId="19" name="Pivottabell61"/>
    <pivotTable tabId="19" name="Pivottabell62"/>
    <pivotTable tabId="19" name="Pivottabell63"/>
    <pivotTable tabId="19" name="Pivottabell64"/>
    <pivotTable tabId="19" name="Pivottabell65"/>
    <pivotTable tabId="19" name="Pivottabell66"/>
    <pivotTable tabId="19" name="Pivottabell67"/>
    <pivotTable tabId="19" name="Pivottabell68"/>
    <pivotTable tabId="19" name="Pivottabell69"/>
    <pivotTable tabId="19" name="Pivottabell7"/>
    <pivotTable tabId="19" name="Pivottabell71"/>
    <pivotTable tabId="19" name="Pivottabell72"/>
    <pivotTable tabId="19" name="Pivottabell73"/>
    <pivotTable tabId="19" name="Pivottabell74"/>
    <pivotTable tabId="19" name="Pivottabell75"/>
    <pivotTable tabId="19" name="Pivottabell76"/>
    <pivotTable tabId="19" name="Pivottabell77"/>
    <pivotTable tabId="19" name="Pivottabell78"/>
    <pivotTable tabId="19" name="Pivottabell79"/>
    <pivotTable tabId="19" name="Pivottabell8"/>
    <pivotTable tabId="19" name="Pivottabell80"/>
    <pivotTable tabId="19" name="Pivottabell81"/>
    <pivotTable tabId="19" name="Pivottabell82"/>
    <pivotTable tabId="19" name="Pivottabell83"/>
    <pivotTable tabId="19" name="Pivottabell84"/>
    <pivotTable tabId="19" name="Pivottabell85"/>
    <pivotTable tabId="19" name="Pivottabell86"/>
    <pivotTable tabId="19" name="Pivottabell87"/>
    <pivotTable tabId="19" name="Pivottabell9"/>
  </pivotTables>
  <data>
    <tabular pivotCacheId="45261387" showMissing="0">
      <items count="7">
        <i x="2" s="1"/>
        <i x="0" s="1"/>
        <i x="1" s="1"/>
        <i x="3" s="1"/>
        <i x="6" s="1" nd="1"/>
        <i x="5" s="1" nd="1"/>
        <i x="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2 1" xr10:uid="{00000000-0014-0000-FFFF-FFFF01000000}" cache="Utsnitt_F2" caption="Skola" style="SlicerStyleLight5" rowHeight="241300"/>
  <slicer name="Kön 1" xr10:uid="{00000000-0014-0000-FFFF-FFFF02000000}" cache="Utsnitt_Kön" caption="Kön"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2_" xr10:uid="{7610B533-CF02-4A41-BBC7-2F41DBAFEA0B}" cache="Utsnitt_F21" caption="Skola" style="SlicerStyleLight5" rowHeight="241300"/>
  <slicer name="Kön 2" xr10:uid="{80C88841-D0BB-464E-8A00-E25DE84A1844}" cache="Utsnitt_Kön1" caption="Kön"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2" xr10:uid="{2832701D-6F59-43BB-B624-B446B7D33046}" cache="Utsnitt_F21" caption="F2" rowHeight="241300"/>
  <slicer name="Kön" xr10:uid="{A90B4F6F-D08A-4DA6-976D-A0E1EDAFBE3F}" cache="Utsnitt_Kön1" caption="Kö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3D76E4-5975-4387-8164-6918E08C67A6}" name="Tabell4" displayName="Tabell4" ref="B6:AD12" totalsRowShown="0" headerRowDxfId="258" dataDxfId="257">
  <autoFilter ref="B6:AD12" xr:uid="{75DD0C93-C4E7-495A-9E94-A18C7EC27C9C}"/>
  <tableColumns count="29">
    <tableColumn id="1" xr3:uid="{3EE71877-6193-4AE8-B182-2E4619A59FF0}" name="Överblick resultat medelvärden (0-10) per skola 2022" dataDxfId="256"/>
    <tableColumn id="2" xr3:uid="{0E1A917C-19A9-4EBC-AEAA-9C8360760E97}" name="Mina lärare vet vad jag ska lära mig" dataDxfId="255"/>
    <tableColumn id="3" xr3:uid="{B7087097-5F5D-41C4-87B2-4E7B447DA0E7}" name="När jag vill lära mig mer får jag nya uppgifter" dataDxfId="254"/>
    <tableColumn id="4" xr3:uid="{18F3E6C3-6DDB-4B05-95C3-89FFDF5FF52B}" name="Jag känner att jag lyckas i skolan" dataDxfId="253"/>
    <tableColumn id="5" xr3:uid="{FF6A07C7-0967-4A33-835E-9D347E67FB4E}" name="Min lärare hjälper mig om jag tycker något är svårt" dataDxfId="252"/>
    <tableColumn id="6" xr3:uid="{1B699D45-F1BE-4DE3-AFE7-41ECE7BAA6D5}" name="Jag får lära mig på olika sätt exempelvis läsa, lyssna, se film, skriva" dataDxfId="251"/>
    <tableColumn id="7" xr3:uid="{B560BB10-7463-4249-A5F0-A7EE2245A031}" name="Jag får svårare uppgifter om jag vill" dataDxfId="250"/>
    <tableColumn id="8" xr3:uid="{6B042DA9-D3C5-4AFA-AA99-938BE942D740}" name="På lektionerna pratar vi om sådant som vi hört och läst" dataDxfId="249"/>
    <tableColumn id="9" xr3:uid="{1B4F4D6F-5D05-4DAF-8B38-79E27272C3EE}" name="I skolan pratar vi om att alla är lika mycket värda" dataDxfId="248"/>
    <tableColumn id="10" xr3:uid="{D1A7B6E1-11A1-46D8-81BE-C73EF6C5E3F2}" name="Vi brukar prata om hur vi ska bemöta varandra" dataDxfId="247"/>
    <tableColumn id="11" xr3:uid="{CA25B49B-95F5-4009-8933-38B2CA508C03}" name="Ingen i skolan gör skillnad på tjejer och killar" dataDxfId="246"/>
    <tableColumn id="12" xr3:uid="{EACC1A61-FA59-431C-ABCE-E4664F8FF81B}" name="I min skola är vi snälla och lyssnar på varandra " dataDxfId="245"/>
    <tableColumn id="13" xr3:uid="{BDCF1BC4-FED7-4E69-8FB5-5E894D1B5885}" name="Jag får vara med och välja vad vi ska göra på lektionerna" dataDxfId="244"/>
    <tableColumn id="14" xr3:uid="{431DD2AB-03F4-4C20-81F1-8D59EA56EDFB}" name="I min skola är eleverna med och bestämmer trivselregler " dataDxfId="243"/>
    <tableColumn id="15" xr3:uid="{E7139B3E-42FA-45F9-AC20-1C510BDE5A6F}" name="Mina lärare säger ifrån om någon behandlas illa eller blir kränkt" dataDxfId="242"/>
    <tableColumn id="16" xr3:uid="{F0CA28A4-93B8-4AA8-ADD2-E5C6563173C8}" name="Det är lugnt i klassrummet " dataDxfId="241"/>
    <tableColumn id="17" xr3:uid="{C9C83535-B240-421C-8E75-EFF66E0AFB7F}" name="I min skola finns det elever som jag är rädd för (obs, ett högt resultat är bra)" dataDxfId="240"/>
    <tableColumn id="18" xr3:uid="{48CBCC62-B818-4AF9-A13F-0662279FC378}" name="I min skola finns det personal som jag är rädd för (obs, ett högt resultat är bra)" dataDxfId="239"/>
    <tableColumn id="19" xr3:uid="{C67AE143-828B-4179-9439-69A1100525A5}" name="Jag känner mig trygg i skolan" dataDxfId="238"/>
    <tableColumn id="20" xr3:uid="{7076EC3B-600B-4DF5-ABAA-35F8775E644C}" name="Jag vet vem på skolan jag kan prata med om någon varit elak " dataDxfId="237"/>
    <tableColumn id="21" xr3:uid="{E07BBC19-F71E-4B27-8BB6-7C4613FA9F71}" name="Jag kan gå och prata med skolsköterska eller kurator om vad jag vill" dataDxfId="236"/>
    <tableColumn id="22" xr3:uid="{3D1D7B11-5FC9-483B-9165-05A167AC0492}" name="Maten på min skola är bra, sett till näringsinnehåll, utseende, smak och klimat- och miljöperspektiv" dataDxfId="235"/>
    <tableColumn id="23" xr3:uid="{510E27BE-2B7D-41AC-85D5-D9A04BC31E67}" name="Jag väljer att äta mig mätt i skolan" dataDxfId="234"/>
    <tableColumn id="24" xr3:uid="{52B6E7B6-2B5B-4351-B40E-9F740C38F29E}" name="Skolrestaurangen har en miljö som är trivsam att vara i" dataDxfId="233"/>
    <tableColumn id="25" xr3:uid="{73DE7867-D089-44E8-9DC0-8F0CA6BF26AD}" name="De som jobbar i skolrestaurangen är trevliga och serviceinriktade" dataDxfId="232"/>
    <tableColumn id="26" xr3:uid="{3142BE27-4662-411E-B406-6BA5F33232B6}" name="Toaletterna är rena och fina" dataDxfId="231"/>
    <tableColumn id="27" xr3:uid="{ED8A3A87-C4AF-43EB-AB0C-D380D0BF7802}" name="Jag får veta vad man kan göra efter studenten" dataDxfId="230"/>
    <tableColumn id="28" xr3:uid="{00AFFEB2-BD4F-4D78-976A-5E14972A2110}" name="Jag är nöjd med min skola" dataDxfId="229"/>
    <tableColumn id="29" xr3:uid="{79AE9167-6AC4-46F2-8EB7-080D9D6F9152}" name="Jag säger till andra att min skola är bra" dataDxfId="228"/>
  </tableColumns>
  <tableStyleInfo name="TableStyleLight20"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pivotTable" Target="../pivotTables/pivotTable26.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89" Type="http://schemas.openxmlformats.org/officeDocument/2006/relationships/pivotTable" Target="../pivotTables/pivotTable89.xml"/><Relationship Id="rId97" Type="http://schemas.openxmlformats.org/officeDocument/2006/relationships/pivotTable" Target="../pivotTables/pivotTable97.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87" Type="http://schemas.openxmlformats.org/officeDocument/2006/relationships/pivotTable" Target="../pivotTables/pivotTable87.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90" Type="http://schemas.openxmlformats.org/officeDocument/2006/relationships/pivotTable" Target="../pivotTables/pivotTable90.xml"/><Relationship Id="rId95" Type="http://schemas.openxmlformats.org/officeDocument/2006/relationships/pivotTable" Target="../pivotTables/pivotTable95.xml"/><Relationship Id="rId19" Type="http://schemas.openxmlformats.org/officeDocument/2006/relationships/pivotTable" Target="../pivotTables/pivotTable1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100" Type="http://schemas.openxmlformats.org/officeDocument/2006/relationships/printerSettings" Target="../printerSettings/printerSettings5.bin"/><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98" Type="http://schemas.openxmlformats.org/officeDocument/2006/relationships/pivotTable" Target="../pivotTables/pivotTable98.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ivotTable" Target="../pivotTables/pivotTable96.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99" Type="http://schemas.openxmlformats.org/officeDocument/2006/relationships/pivotTable" Target="../pivotTables/pivotTable99.xml"/><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s>
</file>

<file path=xl/worksheets/_rels/sheet6.xml.rels><?xml version="1.0" encoding="UTF-8" standalone="yes"?>
<Relationships xmlns="http://schemas.openxmlformats.org/package/2006/relationships"><Relationship Id="rId13" Type="http://schemas.openxmlformats.org/officeDocument/2006/relationships/pivotTable" Target="../pivotTables/pivotTable112.xml"/><Relationship Id="rId18" Type="http://schemas.openxmlformats.org/officeDocument/2006/relationships/pivotTable" Target="../pivotTables/pivotTable117.xml"/><Relationship Id="rId26" Type="http://schemas.openxmlformats.org/officeDocument/2006/relationships/pivotTable" Target="../pivotTables/pivotTable125.xml"/><Relationship Id="rId39" Type="http://schemas.openxmlformats.org/officeDocument/2006/relationships/pivotTable" Target="../pivotTables/pivotTable138.xml"/><Relationship Id="rId21" Type="http://schemas.openxmlformats.org/officeDocument/2006/relationships/pivotTable" Target="../pivotTables/pivotTable120.xml"/><Relationship Id="rId34" Type="http://schemas.openxmlformats.org/officeDocument/2006/relationships/pivotTable" Target="../pivotTables/pivotTable133.xml"/><Relationship Id="rId42" Type="http://schemas.openxmlformats.org/officeDocument/2006/relationships/pivotTable" Target="../pivotTables/pivotTable141.xml"/><Relationship Id="rId47" Type="http://schemas.openxmlformats.org/officeDocument/2006/relationships/pivotTable" Target="../pivotTables/pivotTable146.xml"/><Relationship Id="rId50" Type="http://schemas.openxmlformats.org/officeDocument/2006/relationships/pivotTable" Target="../pivotTables/pivotTable149.xml"/><Relationship Id="rId55" Type="http://schemas.openxmlformats.org/officeDocument/2006/relationships/pivotTable" Target="../pivotTables/pivotTable154.xml"/><Relationship Id="rId63" Type="http://schemas.openxmlformats.org/officeDocument/2006/relationships/pivotTable" Target="../pivotTables/pivotTable162.xml"/><Relationship Id="rId68" Type="http://schemas.openxmlformats.org/officeDocument/2006/relationships/pivotTable" Target="../pivotTables/pivotTable167.xml"/><Relationship Id="rId76" Type="http://schemas.openxmlformats.org/officeDocument/2006/relationships/pivotTable" Target="../pivotTables/pivotTable175.xml"/><Relationship Id="rId84" Type="http://schemas.openxmlformats.org/officeDocument/2006/relationships/pivotTable" Target="../pivotTables/pivotTable183.xml"/><Relationship Id="rId7" Type="http://schemas.openxmlformats.org/officeDocument/2006/relationships/pivotTable" Target="../pivotTables/pivotTable106.xml"/><Relationship Id="rId71" Type="http://schemas.openxmlformats.org/officeDocument/2006/relationships/pivotTable" Target="../pivotTables/pivotTable170.xml"/><Relationship Id="rId2" Type="http://schemas.openxmlformats.org/officeDocument/2006/relationships/pivotTable" Target="../pivotTables/pivotTable101.xml"/><Relationship Id="rId16" Type="http://schemas.openxmlformats.org/officeDocument/2006/relationships/pivotTable" Target="../pivotTables/pivotTable115.xml"/><Relationship Id="rId29" Type="http://schemas.openxmlformats.org/officeDocument/2006/relationships/pivotTable" Target="../pivotTables/pivotTable128.xml"/><Relationship Id="rId11" Type="http://schemas.openxmlformats.org/officeDocument/2006/relationships/pivotTable" Target="../pivotTables/pivotTable110.xml"/><Relationship Id="rId24" Type="http://schemas.openxmlformats.org/officeDocument/2006/relationships/pivotTable" Target="../pivotTables/pivotTable123.xml"/><Relationship Id="rId32" Type="http://schemas.openxmlformats.org/officeDocument/2006/relationships/pivotTable" Target="../pivotTables/pivotTable131.xml"/><Relationship Id="rId37" Type="http://schemas.openxmlformats.org/officeDocument/2006/relationships/pivotTable" Target="../pivotTables/pivotTable136.xml"/><Relationship Id="rId40" Type="http://schemas.openxmlformats.org/officeDocument/2006/relationships/pivotTable" Target="../pivotTables/pivotTable139.xml"/><Relationship Id="rId45" Type="http://schemas.openxmlformats.org/officeDocument/2006/relationships/pivotTable" Target="../pivotTables/pivotTable144.xml"/><Relationship Id="rId53" Type="http://schemas.openxmlformats.org/officeDocument/2006/relationships/pivotTable" Target="../pivotTables/pivotTable152.xml"/><Relationship Id="rId58" Type="http://schemas.openxmlformats.org/officeDocument/2006/relationships/pivotTable" Target="../pivotTables/pivotTable157.xml"/><Relationship Id="rId66" Type="http://schemas.openxmlformats.org/officeDocument/2006/relationships/pivotTable" Target="../pivotTables/pivotTable165.xml"/><Relationship Id="rId74" Type="http://schemas.openxmlformats.org/officeDocument/2006/relationships/pivotTable" Target="../pivotTables/pivotTable173.xml"/><Relationship Id="rId79" Type="http://schemas.openxmlformats.org/officeDocument/2006/relationships/pivotTable" Target="../pivotTables/pivotTable178.xml"/><Relationship Id="rId87" Type="http://schemas.openxmlformats.org/officeDocument/2006/relationships/drawing" Target="../drawings/drawing3.xml"/><Relationship Id="rId5" Type="http://schemas.openxmlformats.org/officeDocument/2006/relationships/pivotTable" Target="../pivotTables/pivotTable104.xml"/><Relationship Id="rId61" Type="http://schemas.openxmlformats.org/officeDocument/2006/relationships/pivotTable" Target="../pivotTables/pivotTable160.xml"/><Relationship Id="rId82" Type="http://schemas.openxmlformats.org/officeDocument/2006/relationships/pivotTable" Target="../pivotTables/pivotTable181.xml"/><Relationship Id="rId19" Type="http://schemas.openxmlformats.org/officeDocument/2006/relationships/pivotTable" Target="../pivotTables/pivotTable118.xml"/><Relationship Id="rId4" Type="http://schemas.openxmlformats.org/officeDocument/2006/relationships/pivotTable" Target="../pivotTables/pivotTable103.xml"/><Relationship Id="rId9" Type="http://schemas.openxmlformats.org/officeDocument/2006/relationships/pivotTable" Target="../pivotTables/pivotTable108.xml"/><Relationship Id="rId14" Type="http://schemas.openxmlformats.org/officeDocument/2006/relationships/pivotTable" Target="../pivotTables/pivotTable113.xml"/><Relationship Id="rId22" Type="http://schemas.openxmlformats.org/officeDocument/2006/relationships/pivotTable" Target="../pivotTables/pivotTable121.xml"/><Relationship Id="rId27" Type="http://schemas.openxmlformats.org/officeDocument/2006/relationships/pivotTable" Target="../pivotTables/pivotTable126.xml"/><Relationship Id="rId30" Type="http://schemas.openxmlformats.org/officeDocument/2006/relationships/pivotTable" Target="../pivotTables/pivotTable129.xml"/><Relationship Id="rId35" Type="http://schemas.openxmlformats.org/officeDocument/2006/relationships/pivotTable" Target="../pivotTables/pivotTable134.xml"/><Relationship Id="rId43" Type="http://schemas.openxmlformats.org/officeDocument/2006/relationships/pivotTable" Target="../pivotTables/pivotTable142.xml"/><Relationship Id="rId48" Type="http://schemas.openxmlformats.org/officeDocument/2006/relationships/pivotTable" Target="../pivotTables/pivotTable147.xml"/><Relationship Id="rId56" Type="http://schemas.openxmlformats.org/officeDocument/2006/relationships/pivotTable" Target="../pivotTables/pivotTable155.xml"/><Relationship Id="rId64" Type="http://schemas.openxmlformats.org/officeDocument/2006/relationships/pivotTable" Target="../pivotTables/pivotTable163.xml"/><Relationship Id="rId69" Type="http://schemas.openxmlformats.org/officeDocument/2006/relationships/pivotTable" Target="../pivotTables/pivotTable168.xml"/><Relationship Id="rId77" Type="http://schemas.openxmlformats.org/officeDocument/2006/relationships/pivotTable" Target="../pivotTables/pivotTable176.xml"/><Relationship Id="rId8" Type="http://schemas.openxmlformats.org/officeDocument/2006/relationships/pivotTable" Target="../pivotTables/pivotTable107.xml"/><Relationship Id="rId51" Type="http://schemas.openxmlformats.org/officeDocument/2006/relationships/pivotTable" Target="../pivotTables/pivotTable150.xml"/><Relationship Id="rId72" Type="http://schemas.openxmlformats.org/officeDocument/2006/relationships/pivotTable" Target="../pivotTables/pivotTable171.xml"/><Relationship Id="rId80" Type="http://schemas.openxmlformats.org/officeDocument/2006/relationships/pivotTable" Target="../pivotTables/pivotTable179.xml"/><Relationship Id="rId85" Type="http://schemas.openxmlformats.org/officeDocument/2006/relationships/pivotTable" Target="../pivotTables/pivotTable184.xml"/><Relationship Id="rId3" Type="http://schemas.openxmlformats.org/officeDocument/2006/relationships/pivotTable" Target="../pivotTables/pivotTable102.xml"/><Relationship Id="rId12" Type="http://schemas.openxmlformats.org/officeDocument/2006/relationships/pivotTable" Target="../pivotTables/pivotTable111.xml"/><Relationship Id="rId17" Type="http://schemas.openxmlformats.org/officeDocument/2006/relationships/pivotTable" Target="../pivotTables/pivotTable116.xml"/><Relationship Id="rId25" Type="http://schemas.openxmlformats.org/officeDocument/2006/relationships/pivotTable" Target="../pivotTables/pivotTable124.xml"/><Relationship Id="rId33" Type="http://schemas.openxmlformats.org/officeDocument/2006/relationships/pivotTable" Target="../pivotTables/pivotTable132.xml"/><Relationship Id="rId38" Type="http://schemas.openxmlformats.org/officeDocument/2006/relationships/pivotTable" Target="../pivotTables/pivotTable137.xml"/><Relationship Id="rId46" Type="http://schemas.openxmlformats.org/officeDocument/2006/relationships/pivotTable" Target="../pivotTables/pivotTable145.xml"/><Relationship Id="rId59" Type="http://schemas.openxmlformats.org/officeDocument/2006/relationships/pivotTable" Target="../pivotTables/pivotTable158.xml"/><Relationship Id="rId67" Type="http://schemas.openxmlformats.org/officeDocument/2006/relationships/pivotTable" Target="../pivotTables/pivotTable166.xml"/><Relationship Id="rId20" Type="http://schemas.openxmlformats.org/officeDocument/2006/relationships/pivotTable" Target="../pivotTables/pivotTable119.xml"/><Relationship Id="rId41" Type="http://schemas.openxmlformats.org/officeDocument/2006/relationships/pivotTable" Target="../pivotTables/pivotTable140.xml"/><Relationship Id="rId54" Type="http://schemas.openxmlformats.org/officeDocument/2006/relationships/pivotTable" Target="../pivotTables/pivotTable153.xml"/><Relationship Id="rId62" Type="http://schemas.openxmlformats.org/officeDocument/2006/relationships/pivotTable" Target="../pivotTables/pivotTable161.xml"/><Relationship Id="rId70" Type="http://schemas.openxmlformats.org/officeDocument/2006/relationships/pivotTable" Target="../pivotTables/pivotTable169.xml"/><Relationship Id="rId75" Type="http://schemas.openxmlformats.org/officeDocument/2006/relationships/pivotTable" Target="../pivotTables/pivotTable174.xml"/><Relationship Id="rId83" Type="http://schemas.openxmlformats.org/officeDocument/2006/relationships/pivotTable" Target="../pivotTables/pivotTable182.xml"/><Relationship Id="rId88" Type="http://schemas.microsoft.com/office/2007/relationships/slicer" Target="../slicers/slicer3.xml"/><Relationship Id="rId1" Type="http://schemas.openxmlformats.org/officeDocument/2006/relationships/pivotTable" Target="../pivotTables/pivotTable100.xml"/><Relationship Id="rId6" Type="http://schemas.openxmlformats.org/officeDocument/2006/relationships/pivotTable" Target="../pivotTables/pivotTable105.xml"/><Relationship Id="rId15" Type="http://schemas.openxmlformats.org/officeDocument/2006/relationships/pivotTable" Target="../pivotTables/pivotTable114.xml"/><Relationship Id="rId23" Type="http://schemas.openxmlformats.org/officeDocument/2006/relationships/pivotTable" Target="../pivotTables/pivotTable122.xml"/><Relationship Id="rId28" Type="http://schemas.openxmlformats.org/officeDocument/2006/relationships/pivotTable" Target="../pivotTables/pivotTable127.xml"/><Relationship Id="rId36" Type="http://schemas.openxmlformats.org/officeDocument/2006/relationships/pivotTable" Target="../pivotTables/pivotTable135.xml"/><Relationship Id="rId49" Type="http://schemas.openxmlformats.org/officeDocument/2006/relationships/pivotTable" Target="../pivotTables/pivotTable148.xml"/><Relationship Id="rId57" Type="http://schemas.openxmlformats.org/officeDocument/2006/relationships/pivotTable" Target="../pivotTables/pivotTable156.xml"/><Relationship Id="rId10" Type="http://schemas.openxmlformats.org/officeDocument/2006/relationships/pivotTable" Target="../pivotTables/pivotTable109.xml"/><Relationship Id="rId31" Type="http://schemas.openxmlformats.org/officeDocument/2006/relationships/pivotTable" Target="../pivotTables/pivotTable130.xml"/><Relationship Id="rId44" Type="http://schemas.openxmlformats.org/officeDocument/2006/relationships/pivotTable" Target="../pivotTables/pivotTable143.xml"/><Relationship Id="rId52" Type="http://schemas.openxmlformats.org/officeDocument/2006/relationships/pivotTable" Target="../pivotTables/pivotTable151.xml"/><Relationship Id="rId60" Type="http://schemas.openxmlformats.org/officeDocument/2006/relationships/pivotTable" Target="../pivotTables/pivotTable159.xml"/><Relationship Id="rId65" Type="http://schemas.openxmlformats.org/officeDocument/2006/relationships/pivotTable" Target="../pivotTables/pivotTable164.xml"/><Relationship Id="rId73" Type="http://schemas.openxmlformats.org/officeDocument/2006/relationships/pivotTable" Target="../pivotTables/pivotTable172.xml"/><Relationship Id="rId78" Type="http://schemas.openxmlformats.org/officeDocument/2006/relationships/pivotTable" Target="../pivotTables/pivotTable177.xml"/><Relationship Id="rId81" Type="http://schemas.openxmlformats.org/officeDocument/2006/relationships/pivotTable" Target="../pivotTables/pivotTable180.xml"/><Relationship Id="rId86" Type="http://schemas.openxmlformats.org/officeDocument/2006/relationships/pivotTable" Target="../pivotTables/pivotTable1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B0F0"/>
  </sheetPr>
  <dimension ref="B1:AA669"/>
  <sheetViews>
    <sheetView showGridLines="0" showRowColHeaders="0" tabSelected="1" workbookViewId="0">
      <selection activeCell="J9" sqref="J9"/>
    </sheetView>
  </sheetViews>
  <sheetFormatPr defaultColWidth="9.1796875" defaultRowHeight="12.5" x14ac:dyDescent="0.25"/>
  <cols>
    <col min="1" max="1" width="2.81640625" style="10" customWidth="1"/>
    <col min="2" max="2" width="25.54296875" style="10" customWidth="1"/>
    <col min="3" max="5" width="9.1796875" style="10"/>
    <col min="6" max="6" width="10.1796875" style="9" customWidth="1"/>
    <col min="7" max="8" width="9.1796875" style="10" customWidth="1"/>
    <col min="9" max="9" width="9.1796875" style="10"/>
    <col min="10" max="10" width="10.453125" style="9" customWidth="1"/>
    <col min="11" max="12" width="8.453125" style="10" customWidth="1"/>
    <col min="13" max="17" width="9.1796875" style="10"/>
    <col min="18" max="18" width="11.54296875" style="10" customWidth="1"/>
    <col min="19" max="16384" width="9.1796875" style="10"/>
  </cols>
  <sheetData>
    <row r="1" spans="2:20" ht="8.25" customHeight="1" x14ac:dyDescent="0.35">
      <c r="K1" s="8"/>
      <c r="L1" s="8"/>
      <c r="M1" s="8"/>
      <c r="N1" s="8"/>
      <c r="O1" s="8"/>
      <c r="P1" s="8"/>
      <c r="Q1" s="8"/>
      <c r="R1" s="8"/>
      <c r="S1" s="8"/>
      <c r="T1" s="8"/>
    </row>
    <row r="2" spans="2:20" ht="14.5" x14ac:dyDescent="0.35">
      <c r="K2" s="8"/>
      <c r="L2" s="8"/>
      <c r="M2" s="8"/>
      <c r="N2" s="8"/>
      <c r="O2" s="8"/>
      <c r="P2" s="8"/>
      <c r="Q2" s="8"/>
      <c r="R2" s="8"/>
      <c r="S2" s="8"/>
      <c r="T2" s="8"/>
    </row>
    <row r="3" spans="2:20" ht="16.5" x14ac:dyDescent="0.35">
      <c r="D3" s="14" t="s">
        <v>11</v>
      </c>
      <c r="E3" s="9"/>
      <c r="F3" s="10"/>
      <c r="K3" s="8"/>
      <c r="L3" s="8"/>
      <c r="M3" s="8"/>
      <c r="N3" s="8"/>
      <c r="O3" s="8"/>
      <c r="P3" s="8"/>
      <c r="Q3" s="8"/>
      <c r="R3" s="8"/>
      <c r="S3" s="8"/>
      <c r="T3" s="8"/>
    </row>
    <row r="4" spans="2:20" ht="16.5" x14ac:dyDescent="0.35">
      <c r="D4" s="14" t="s">
        <v>54</v>
      </c>
      <c r="E4" s="9"/>
      <c r="F4" s="10"/>
      <c r="K4" s="8"/>
      <c r="L4" s="8"/>
      <c r="M4" s="8"/>
      <c r="N4" s="8"/>
      <c r="O4" s="8"/>
      <c r="P4" s="8"/>
      <c r="Q4" s="8"/>
      <c r="R4" s="8"/>
      <c r="S4" s="8"/>
      <c r="T4" s="8"/>
    </row>
    <row r="5" spans="2:20" ht="14.5" x14ac:dyDescent="0.35">
      <c r="K5" s="8"/>
      <c r="L5" s="8"/>
      <c r="M5" s="8"/>
      <c r="N5" s="8"/>
      <c r="O5" s="8"/>
      <c r="P5" s="8"/>
      <c r="Q5" s="8"/>
      <c r="R5" s="8"/>
      <c r="S5" s="8"/>
      <c r="T5" s="8"/>
    </row>
    <row r="6" spans="2:20" ht="16.5" x14ac:dyDescent="0.35">
      <c r="E6" s="14" t="s">
        <v>159</v>
      </c>
      <c r="K6" s="8"/>
      <c r="L6" s="8"/>
      <c r="M6" s="8"/>
      <c r="N6" s="8"/>
      <c r="O6" s="8"/>
      <c r="P6" s="8"/>
      <c r="Q6" s="8"/>
      <c r="R6" s="8"/>
      <c r="S6" s="8"/>
      <c r="T6" s="8"/>
    </row>
    <row r="7" spans="2:20" ht="14.5" x14ac:dyDescent="0.35">
      <c r="E7" s="15" t="s">
        <v>4</v>
      </c>
      <c r="G7" s="10" t="str">
        <f>pivot!S1</f>
        <v>(Alla)</v>
      </c>
      <c r="K7" s="8"/>
      <c r="L7" s="8"/>
      <c r="M7" s="8"/>
      <c r="N7" s="8"/>
      <c r="O7" s="8"/>
      <c r="P7" s="8"/>
      <c r="Q7" s="8"/>
      <c r="R7" s="8"/>
      <c r="S7" s="8"/>
      <c r="T7" s="8"/>
    </row>
    <row r="8" spans="2:20" ht="14.5" x14ac:dyDescent="0.35">
      <c r="E8" s="15" t="s">
        <v>5</v>
      </c>
      <c r="G8" s="16">
        <f>GETPIVOTDATA("F2",pivot!$R$4)</f>
        <v>89</v>
      </c>
      <c r="H8" s="16"/>
      <c r="K8" s="8"/>
      <c r="L8" s="8"/>
      <c r="M8" s="8"/>
      <c r="N8" s="8"/>
      <c r="O8" s="8"/>
      <c r="P8" s="8"/>
      <c r="Q8" s="8"/>
      <c r="R8" s="8"/>
      <c r="S8" s="8"/>
      <c r="T8" s="8"/>
    </row>
    <row r="9" spans="2:20" ht="14.5" x14ac:dyDescent="0.35">
      <c r="E9" s="15"/>
      <c r="K9" s="8"/>
      <c r="L9" s="8"/>
      <c r="M9" s="8"/>
      <c r="N9" s="8"/>
      <c r="O9" s="8"/>
      <c r="P9" s="8"/>
      <c r="Q9" s="8"/>
      <c r="R9" s="8"/>
      <c r="S9" s="8"/>
      <c r="T9" s="8"/>
    </row>
    <row r="10" spans="2:20" ht="14.5" x14ac:dyDescent="0.35">
      <c r="K10" s="8"/>
      <c r="L10" s="8"/>
      <c r="M10" s="8"/>
      <c r="N10" s="8"/>
      <c r="O10" s="8"/>
      <c r="P10" s="8"/>
      <c r="Q10" s="8"/>
      <c r="R10" s="8"/>
      <c r="S10" s="8"/>
      <c r="T10" s="8"/>
    </row>
    <row r="11" spans="2:20" ht="14.5" x14ac:dyDescent="0.35">
      <c r="F11" s="10"/>
      <c r="K11" s="8"/>
      <c r="L11" s="8"/>
      <c r="M11" s="8"/>
      <c r="N11" s="8"/>
      <c r="O11" s="8"/>
      <c r="P11" s="8"/>
      <c r="Q11" s="8"/>
      <c r="R11" s="8"/>
      <c r="S11" s="8"/>
      <c r="T11" s="8"/>
    </row>
    <row r="12" spans="2:20" ht="16.5" x14ac:dyDescent="0.35">
      <c r="B12" s="14" t="s">
        <v>176</v>
      </c>
      <c r="E12" s="19"/>
      <c r="K12" s="8"/>
      <c r="L12" s="8"/>
      <c r="M12" s="8"/>
      <c r="N12" s="8"/>
      <c r="O12" s="8"/>
      <c r="P12" s="8"/>
      <c r="Q12" s="8"/>
      <c r="R12" s="8"/>
      <c r="S12" s="8"/>
      <c r="T12" s="8"/>
    </row>
    <row r="13" spans="2:20" ht="15" customHeight="1" x14ac:dyDescent="0.35">
      <c r="B13" s="183" t="s">
        <v>12</v>
      </c>
      <c r="C13" s="183"/>
      <c r="D13" s="183"/>
      <c r="E13" s="183"/>
      <c r="F13" s="183"/>
      <c r="G13" s="183"/>
      <c r="H13" s="183"/>
      <c r="I13" s="183"/>
      <c r="K13" s="8"/>
      <c r="L13" s="8"/>
      <c r="M13" s="8"/>
      <c r="N13" s="8"/>
      <c r="O13" s="8"/>
      <c r="P13" s="8"/>
      <c r="Q13" s="8"/>
      <c r="R13" s="8"/>
      <c r="S13" s="8"/>
      <c r="T13" s="8"/>
    </row>
    <row r="14" spans="2:20" ht="14.5" x14ac:dyDescent="0.35">
      <c r="B14" s="183"/>
      <c r="C14" s="183"/>
      <c r="D14" s="183"/>
      <c r="E14" s="183"/>
      <c r="F14" s="183"/>
      <c r="G14" s="183"/>
      <c r="H14" s="183"/>
      <c r="I14" s="183"/>
      <c r="K14" s="8"/>
      <c r="L14" s="8"/>
      <c r="M14" s="8"/>
      <c r="N14" s="8"/>
      <c r="O14" s="8"/>
      <c r="P14" s="8"/>
      <c r="Q14" s="8"/>
      <c r="R14" s="8"/>
      <c r="S14" s="8"/>
      <c r="T14" s="8"/>
    </row>
    <row r="15" spans="2:20" ht="14.5" x14ac:dyDescent="0.35">
      <c r="B15" s="183"/>
      <c r="C15" s="183"/>
      <c r="D15" s="183"/>
      <c r="E15" s="183"/>
      <c r="F15" s="183"/>
      <c r="G15" s="183"/>
      <c r="H15" s="183"/>
      <c r="I15" s="183"/>
      <c r="K15" s="8"/>
      <c r="L15" s="8"/>
      <c r="M15" s="8"/>
      <c r="N15" s="8"/>
      <c r="O15" s="8"/>
      <c r="P15" s="8"/>
      <c r="Q15" s="8"/>
      <c r="R15" s="8"/>
      <c r="S15" s="8"/>
      <c r="T15" s="8"/>
    </row>
    <row r="16" spans="2:20" ht="17" customHeight="1" x14ac:dyDescent="0.35">
      <c r="B16" s="183"/>
      <c r="C16" s="183"/>
      <c r="D16" s="183"/>
      <c r="E16" s="183"/>
      <c r="F16" s="183"/>
      <c r="G16" s="183"/>
      <c r="H16" s="183"/>
      <c r="I16" s="183"/>
      <c r="K16" s="8"/>
      <c r="L16" s="8"/>
      <c r="M16" s="8"/>
      <c r="N16" s="8"/>
      <c r="O16" s="8"/>
      <c r="P16" s="8"/>
      <c r="Q16" s="8"/>
      <c r="R16" s="8"/>
      <c r="S16" s="8"/>
      <c r="T16" s="8"/>
    </row>
    <row r="17" spans="2:20" ht="8" customHeight="1" x14ac:dyDescent="0.35">
      <c r="B17" s="184" t="s">
        <v>155</v>
      </c>
      <c r="C17" s="184"/>
      <c r="D17" s="184"/>
      <c r="E17" s="184"/>
      <c r="F17" s="184"/>
      <c r="G17" s="184"/>
      <c r="H17" s="184"/>
      <c r="I17" s="184"/>
      <c r="K17" s="8"/>
      <c r="L17" s="8"/>
      <c r="M17" s="8"/>
      <c r="N17" s="8"/>
      <c r="O17" s="8"/>
      <c r="P17" s="8"/>
      <c r="Q17" s="8"/>
      <c r="R17" s="8"/>
      <c r="S17" s="8"/>
      <c r="T17" s="8"/>
    </row>
    <row r="18" spans="2:20" ht="14.5" x14ac:dyDescent="0.35">
      <c r="B18" s="184"/>
      <c r="C18" s="184"/>
      <c r="D18" s="184"/>
      <c r="E18" s="184"/>
      <c r="F18" s="184"/>
      <c r="G18" s="184"/>
      <c r="H18" s="184"/>
      <c r="I18" s="184"/>
      <c r="K18" s="8"/>
      <c r="L18" s="8"/>
      <c r="M18" s="8"/>
      <c r="N18" s="8"/>
      <c r="O18" s="8"/>
      <c r="P18" s="8"/>
      <c r="Q18" s="8"/>
      <c r="R18" s="8"/>
      <c r="S18" s="8"/>
      <c r="T18" s="8"/>
    </row>
    <row r="19" spans="2:20" ht="12.5" customHeight="1" x14ac:dyDescent="0.35">
      <c r="B19" s="20"/>
      <c r="C19" s="20"/>
      <c r="D19" s="20"/>
      <c r="E19" s="20"/>
      <c r="F19" s="20"/>
      <c r="G19" s="20"/>
      <c r="H19" s="20"/>
      <c r="I19" s="20"/>
      <c r="K19" s="8"/>
      <c r="L19" s="8"/>
      <c r="M19" s="8"/>
      <c r="N19" s="8"/>
      <c r="O19" s="8"/>
      <c r="P19" s="8"/>
      <c r="Q19" s="8"/>
      <c r="R19" s="8"/>
      <c r="S19" s="8"/>
      <c r="T19" s="8"/>
    </row>
    <row r="20" spans="2:20" ht="16.5" x14ac:dyDescent="0.35">
      <c r="B20" s="14" t="s">
        <v>177</v>
      </c>
      <c r="F20" s="10"/>
      <c r="K20" s="8"/>
      <c r="L20" s="8"/>
      <c r="M20" s="8"/>
      <c r="N20" s="8"/>
      <c r="O20" s="8"/>
      <c r="P20" s="8"/>
      <c r="Q20" s="8"/>
      <c r="R20" s="8"/>
      <c r="S20" s="8"/>
      <c r="T20" s="8"/>
    </row>
    <row r="21" spans="2:20" ht="15" customHeight="1" x14ac:dyDescent="0.35">
      <c r="B21" s="184" t="s">
        <v>154</v>
      </c>
      <c r="C21" s="184"/>
      <c r="D21" s="184"/>
      <c r="E21" s="184"/>
      <c r="F21" s="184"/>
      <c r="G21" s="184"/>
      <c r="H21" s="184"/>
      <c r="I21" s="184"/>
      <c r="K21" s="8"/>
      <c r="L21" s="8"/>
      <c r="M21" s="8"/>
      <c r="N21" s="8"/>
      <c r="O21" s="8"/>
      <c r="P21" s="8"/>
      <c r="Q21" s="8"/>
      <c r="R21" s="8"/>
      <c r="S21" s="8"/>
      <c r="T21" s="8"/>
    </row>
    <row r="22" spans="2:20" ht="14.5" x14ac:dyDescent="0.35">
      <c r="B22" s="184"/>
      <c r="C22" s="184"/>
      <c r="D22" s="184"/>
      <c r="E22" s="184"/>
      <c r="F22" s="184"/>
      <c r="G22" s="184"/>
      <c r="H22" s="184"/>
      <c r="I22" s="184"/>
      <c r="K22" s="8"/>
      <c r="L22" s="8"/>
      <c r="M22" s="8"/>
      <c r="N22" s="8"/>
      <c r="O22" s="8"/>
      <c r="P22" s="8"/>
      <c r="Q22" s="8"/>
      <c r="R22" s="8"/>
      <c r="S22" s="8"/>
      <c r="T22" s="8"/>
    </row>
    <row r="23" spans="2:20" ht="14.5" hidden="1" x14ac:dyDescent="0.35">
      <c r="B23" s="21"/>
      <c r="K23" s="8"/>
      <c r="L23" s="8"/>
      <c r="M23" s="8"/>
      <c r="N23" s="8"/>
      <c r="O23" s="8"/>
      <c r="P23" s="8"/>
      <c r="Q23" s="8"/>
      <c r="R23" s="8"/>
      <c r="S23" s="8"/>
      <c r="T23" s="8"/>
    </row>
    <row r="24" spans="2:20" ht="14.5" x14ac:dyDescent="0.35">
      <c r="B24" s="21"/>
      <c r="K24" s="8"/>
      <c r="L24" s="8"/>
      <c r="M24" s="8"/>
      <c r="N24" s="8"/>
      <c r="O24" s="8"/>
      <c r="P24" s="8"/>
      <c r="Q24" s="8"/>
      <c r="R24" s="8"/>
      <c r="S24" s="8"/>
      <c r="T24" s="8"/>
    </row>
    <row r="25" spans="2:20" ht="16.5" x14ac:dyDescent="0.35">
      <c r="B25" s="14" t="s">
        <v>178</v>
      </c>
      <c r="J25" s="91"/>
      <c r="K25" s="8"/>
      <c r="L25" s="8"/>
      <c r="M25" s="8"/>
      <c r="N25" s="8"/>
      <c r="O25" s="8"/>
      <c r="P25" s="8"/>
      <c r="Q25" s="8"/>
      <c r="R25" s="8"/>
      <c r="S25" s="8"/>
      <c r="T25" s="8"/>
    </row>
    <row r="26" spans="2:20" ht="14.5" x14ac:dyDescent="0.35">
      <c r="B26" s="182" t="s">
        <v>179</v>
      </c>
      <c r="C26" s="182"/>
      <c r="D26" s="182"/>
      <c r="E26" s="182"/>
      <c r="F26" s="182"/>
      <c r="G26" s="182"/>
      <c r="H26" s="182"/>
      <c r="I26" s="182"/>
      <c r="J26" s="182"/>
      <c r="K26" s="182"/>
      <c r="L26" s="182"/>
      <c r="M26" s="182"/>
      <c r="N26" s="182"/>
      <c r="O26" s="8"/>
      <c r="P26" s="8"/>
      <c r="Q26" s="8"/>
      <c r="R26" s="8"/>
      <c r="S26" s="8"/>
      <c r="T26" s="8"/>
    </row>
    <row r="27" spans="2:20" ht="14.5" x14ac:dyDescent="0.35">
      <c r="B27" s="182" t="s">
        <v>180</v>
      </c>
      <c r="C27" s="182"/>
      <c r="D27" s="182"/>
      <c r="E27" s="182"/>
      <c r="F27" s="182"/>
      <c r="G27" s="182"/>
      <c r="H27" s="182"/>
      <c r="I27" s="182"/>
      <c r="J27" s="182"/>
      <c r="K27" s="182"/>
      <c r="L27" s="182"/>
      <c r="M27" s="182"/>
      <c r="N27" s="8"/>
      <c r="O27" s="8"/>
      <c r="P27" s="8"/>
      <c r="Q27" s="96"/>
      <c r="R27" s="8"/>
      <c r="S27" s="8"/>
      <c r="T27" s="8"/>
    </row>
    <row r="28" spans="2:20" ht="14.5" x14ac:dyDescent="0.35">
      <c r="B28" s="11"/>
      <c r="C28" s="11"/>
      <c r="D28" s="11"/>
      <c r="E28" s="11"/>
      <c r="F28" s="11"/>
      <c r="G28" s="11"/>
      <c r="H28" s="11"/>
      <c r="I28" s="11"/>
      <c r="J28" s="11"/>
      <c r="K28" s="8"/>
      <c r="L28" s="8"/>
      <c r="M28" s="8"/>
      <c r="N28" s="8"/>
      <c r="O28" s="8"/>
      <c r="P28" s="8"/>
      <c r="Q28" s="22"/>
      <c r="R28" s="8"/>
      <c r="S28" s="8"/>
      <c r="T28" s="8"/>
    </row>
    <row r="29" spans="2:20" ht="14.5" x14ac:dyDescent="0.35">
      <c r="B29" s="24"/>
      <c r="C29" s="11"/>
      <c r="D29" s="11"/>
      <c r="E29" s="11"/>
      <c r="F29" s="11"/>
      <c r="G29" s="11"/>
      <c r="H29" s="11"/>
      <c r="I29" s="11"/>
      <c r="J29" s="11"/>
      <c r="K29" s="8"/>
      <c r="L29" s="8"/>
      <c r="M29" s="8"/>
      <c r="N29" s="8"/>
      <c r="O29" s="8"/>
      <c r="P29" s="8"/>
      <c r="Q29" s="8"/>
      <c r="R29" s="8"/>
      <c r="S29" s="8"/>
      <c r="T29" s="8"/>
    </row>
    <row r="30" spans="2:20" ht="14.5" x14ac:dyDescent="0.35">
      <c r="B30" s="25"/>
      <c r="C30" s="25"/>
      <c r="D30" s="25"/>
      <c r="E30" s="25"/>
      <c r="F30" s="25"/>
      <c r="G30" s="26"/>
      <c r="H30" s="26"/>
      <c r="I30" s="26"/>
      <c r="K30" s="8"/>
      <c r="L30" s="8"/>
      <c r="M30" s="8"/>
      <c r="N30" s="8"/>
      <c r="O30" s="8"/>
      <c r="P30" s="8"/>
      <c r="Q30" s="8"/>
      <c r="R30" s="8"/>
      <c r="S30" s="8"/>
      <c r="T30" s="8"/>
    </row>
    <row r="31" spans="2:20" ht="14.5" x14ac:dyDescent="0.35">
      <c r="B31" s="25"/>
      <c r="C31" s="25"/>
      <c r="D31" s="25"/>
      <c r="E31" s="25"/>
      <c r="F31" s="25"/>
      <c r="G31" s="26"/>
      <c r="H31" s="26"/>
      <c r="I31" s="26"/>
      <c r="K31" s="8"/>
      <c r="L31" s="8"/>
      <c r="M31" s="8"/>
      <c r="N31" s="8"/>
      <c r="O31" s="8"/>
      <c r="P31" s="8"/>
      <c r="Q31" s="8"/>
      <c r="R31" s="8"/>
      <c r="S31" s="8"/>
      <c r="T31" s="8"/>
    </row>
    <row r="32" spans="2:20" ht="14.5" x14ac:dyDescent="0.35">
      <c r="K32" s="8"/>
      <c r="L32" s="8"/>
      <c r="M32" s="8"/>
      <c r="N32" s="8"/>
      <c r="O32" s="8"/>
      <c r="P32" s="8"/>
      <c r="Q32" s="8"/>
      <c r="R32" s="8"/>
      <c r="S32" s="8"/>
      <c r="T32" s="8"/>
    </row>
    <row r="33" spans="2:22" ht="14.5" x14ac:dyDescent="0.35">
      <c r="K33" s="8"/>
      <c r="L33" s="8"/>
      <c r="M33" s="8"/>
      <c r="N33" s="8"/>
      <c r="O33" s="8"/>
      <c r="P33" s="8"/>
      <c r="Q33" s="8"/>
      <c r="R33" s="8"/>
      <c r="S33" s="8"/>
      <c r="T33" s="8"/>
    </row>
    <row r="34" spans="2:22" ht="14.5" x14ac:dyDescent="0.35">
      <c r="K34" s="8"/>
      <c r="L34" s="8"/>
      <c r="M34" s="8"/>
      <c r="N34" s="8"/>
      <c r="O34" s="8"/>
      <c r="P34" s="8"/>
      <c r="Q34" s="8"/>
      <c r="R34" s="8"/>
      <c r="S34" s="8"/>
      <c r="T34" s="8"/>
    </row>
    <row r="35" spans="2:22" ht="14.5" x14ac:dyDescent="0.35">
      <c r="K35" s="8"/>
      <c r="L35" s="8"/>
      <c r="M35" s="8"/>
      <c r="N35" s="8"/>
      <c r="O35" s="8"/>
      <c r="P35" s="8"/>
      <c r="Q35" s="8"/>
      <c r="R35" s="8"/>
      <c r="S35" s="8"/>
      <c r="T35" s="8"/>
    </row>
    <row r="36" spans="2:22" ht="14.5" x14ac:dyDescent="0.35">
      <c r="K36" s="8"/>
      <c r="L36" s="8"/>
      <c r="M36" s="8"/>
      <c r="N36" s="8"/>
      <c r="O36" s="8"/>
      <c r="P36" s="8"/>
      <c r="Q36" s="8"/>
      <c r="R36" s="8"/>
      <c r="S36" s="8"/>
      <c r="T36" s="8"/>
    </row>
    <row r="37" spans="2:22" ht="14.5" x14ac:dyDescent="0.35">
      <c r="K37" s="8"/>
      <c r="L37" s="8"/>
      <c r="M37" s="8"/>
      <c r="N37" s="8"/>
      <c r="O37" s="8"/>
      <c r="P37" s="8"/>
      <c r="Q37" s="8"/>
      <c r="R37" s="8"/>
      <c r="S37" s="8"/>
      <c r="T37" s="8"/>
    </row>
    <row r="38" spans="2:22" ht="14.5" x14ac:dyDescent="0.35">
      <c r="K38" s="8"/>
      <c r="L38" s="8"/>
      <c r="M38" s="8"/>
      <c r="O38" s="8"/>
      <c r="P38" s="8"/>
      <c r="Q38" s="8"/>
      <c r="R38" s="8"/>
      <c r="S38" s="8"/>
      <c r="T38" s="8"/>
    </row>
    <row r="39" spans="2:22" ht="14.5" x14ac:dyDescent="0.35">
      <c r="K39" s="8"/>
      <c r="L39" s="8"/>
      <c r="M39" s="8"/>
      <c r="N39" s="23"/>
      <c r="O39" s="8"/>
      <c r="P39" s="8"/>
      <c r="Q39" s="8"/>
      <c r="R39" s="8"/>
      <c r="S39" s="8"/>
      <c r="T39" s="8"/>
    </row>
    <row r="40" spans="2:22" ht="14.5" x14ac:dyDescent="0.35">
      <c r="K40" s="8"/>
      <c r="L40" s="8"/>
      <c r="M40" s="8"/>
      <c r="O40" s="8"/>
      <c r="P40" s="8"/>
      <c r="Q40" s="8"/>
      <c r="R40" s="8"/>
      <c r="S40" s="8"/>
      <c r="T40" s="8"/>
    </row>
    <row r="41" spans="2:22" ht="14.5" x14ac:dyDescent="0.35">
      <c r="F41" s="10"/>
      <c r="G41" s="9"/>
      <c r="H41" s="9"/>
      <c r="M41" s="8"/>
      <c r="N41" s="8"/>
      <c r="O41" s="8"/>
      <c r="P41" s="8"/>
      <c r="Q41" s="8"/>
      <c r="R41" s="8"/>
      <c r="S41" s="8"/>
      <c r="T41" s="8"/>
      <c r="U41" s="8"/>
    </row>
    <row r="42" spans="2:22" ht="18" x14ac:dyDescent="0.4">
      <c r="B42" s="120" t="s">
        <v>9</v>
      </c>
      <c r="C42" s="121"/>
      <c r="D42" s="121"/>
      <c r="E42" s="121"/>
      <c r="F42" s="121"/>
      <c r="G42" s="122"/>
      <c r="H42" s="122"/>
      <c r="I42" s="121"/>
      <c r="J42" s="122"/>
      <c r="K42" s="121"/>
      <c r="L42" s="121"/>
      <c r="M42" s="8"/>
      <c r="N42" s="8"/>
      <c r="O42" s="8"/>
      <c r="P42" s="8"/>
      <c r="Q42" s="8"/>
      <c r="R42" s="8"/>
      <c r="S42" s="8"/>
      <c r="T42" s="8"/>
      <c r="U42" s="8"/>
    </row>
    <row r="43" spans="2:22" ht="14.5" x14ac:dyDescent="0.35">
      <c r="B43" s="123" t="s">
        <v>45</v>
      </c>
      <c r="C43" s="121"/>
      <c r="D43" s="121"/>
      <c r="E43" s="121"/>
      <c r="F43" s="121"/>
      <c r="G43" s="122"/>
      <c r="H43" s="122"/>
      <c r="I43" s="121"/>
      <c r="J43" s="122"/>
      <c r="K43" s="121"/>
      <c r="L43" s="121"/>
      <c r="M43" s="8"/>
      <c r="N43" s="8"/>
      <c r="O43" s="8"/>
      <c r="P43" s="8"/>
      <c r="Q43" s="8"/>
      <c r="R43" s="8"/>
      <c r="S43" s="8"/>
      <c r="T43" s="8"/>
      <c r="U43" s="8"/>
    </row>
    <row r="44" spans="2:22" ht="14.5" x14ac:dyDescent="0.35">
      <c r="F44" s="10"/>
      <c r="G44" s="9"/>
      <c r="H44" s="9"/>
      <c r="M44" s="90"/>
      <c r="N44" s="8"/>
      <c r="O44" s="8"/>
      <c r="P44" s="8"/>
      <c r="Q44" s="8"/>
      <c r="R44" s="8"/>
      <c r="S44" s="8"/>
      <c r="T44" s="8"/>
      <c r="U44" s="8"/>
    </row>
    <row r="45" spans="2:22" ht="15.5" x14ac:dyDescent="0.35">
      <c r="B45" s="124" t="s">
        <v>55</v>
      </c>
      <c r="F45" s="10"/>
      <c r="M45" s="90"/>
      <c r="N45" s="8"/>
      <c r="O45" s="8"/>
      <c r="P45" s="8"/>
      <c r="Q45" s="8"/>
      <c r="R45" s="8"/>
      <c r="S45" s="8"/>
      <c r="T45" s="8"/>
      <c r="U45" s="8"/>
      <c r="V45" s="8"/>
    </row>
    <row r="46" spans="2:22" ht="12.75" customHeight="1" x14ac:dyDescent="0.35">
      <c r="B46" s="28"/>
      <c r="C46" s="28"/>
      <c r="D46" s="9"/>
      <c r="E46" s="9"/>
      <c r="G46" s="9"/>
      <c r="I46" s="15"/>
      <c r="L46" s="108" t="str">
        <f>$G$7</f>
        <v>(Alla)</v>
      </c>
      <c r="M46" s="177" t="s">
        <v>6</v>
      </c>
      <c r="N46" s="8"/>
      <c r="O46" s="8"/>
      <c r="P46" s="8"/>
      <c r="Q46" s="8"/>
      <c r="R46" s="8"/>
    </row>
    <row r="47" spans="2:22" ht="14.5" x14ac:dyDescent="0.35">
      <c r="B47" s="29"/>
      <c r="C47" s="30"/>
      <c r="F47" s="10"/>
      <c r="H47" s="30">
        <v>2019</v>
      </c>
      <c r="I47" s="30">
        <v>2020</v>
      </c>
      <c r="J47" s="93">
        <v>2021</v>
      </c>
      <c r="K47" s="93">
        <v>2022</v>
      </c>
      <c r="L47" s="31">
        <v>2023</v>
      </c>
      <c r="M47" s="30">
        <v>2023</v>
      </c>
      <c r="O47" s="8"/>
      <c r="P47" s="8"/>
      <c r="Q47" s="8"/>
      <c r="R47" s="8"/>
      <c r="S47" s="8"/>
      <c r="T47" s="8"/>
      <c r="U47" s="8"/>
      <c r="V47" s="8"/>
    </row>
    <row r="48" spans="2:22" ht="14.5" x14ac:dyDescent="0.35">
      <c r="B48" s="32" t="s">
        <v>46</v>
      </c>
      <c r="C48" s="33"/>
      <c r="D48" s="33"/>
      <c r="E48" s="33"/>
      <c r="F48" s="33"/>
      <c r="G48" s="33"/>
      <c r="H48" s="33">
        <f>IFERROR(IF(H$55&lt;7,,(GETPIVOTDATA("Mina lärare vet vad jag ska lära mig",pivot!$I$119,"År",2019,"Mina lärare vet vad jag ska lära mig",1))),)</f>
        <v>2.6666666666666668E-2</v>
      </c>
      <c r="I48" s="33">
        <f>IFERROR(IF(I$55&lt;7,,(GETPIVOTDATA("Mina lärare vet vad jag ska lära mig",pivot!$I$119,"År",2020,"Mina lärare vet vad jag ska lära mig",1))),)</f>
        <v>2.0618556701030927E-2</v>
      </c>
      <c r="J48" s="79">
        <f>IFERROR(IF(J$55&lt;7,,(GETPIVOTDATA("Mina lärare vet vad jag ska lära mig",pivot!$I$119,"År",2021,"Mina lärare vet vad jag ska lära mig",1))),)</f>
        <v>2.1505376344086023E-2</v>
      </c>
      <c r="K48" s="79">
        <f>IFERROR(IF(K$55&lt;7,,(GETPIVOTDATA("Mina lärare vet vad jag ska lära mig",pivot!$I$119,"År",2022,"Mina lärare vet vad jag ska lära mig",1))),)</f>
        <v>0</v>
      </c>
      <c r="L48" s="34">
        <f>IFERROR(IF(L$55&lt;7,,(GETPIVOTDATA("Mina lärare vet vad jag ska lära mig",pivot!$I$119,"År",2023,"Mina lärare vet vad jag ska lära mig",1))),)</f>
        <v>1.1363636363636364E-2</v>
      </c>
      <c r="M48" s="149">
        <v>1.1363636363636364E-2</v>
      </c>
      <c r="N48" s="8"/>
      <c r="O48" s="8"/>
      <c r="P48" s="8"/>
      <c r="Q48" s="8"/>
      <c r="R48" s="8"/>
      <c r="S48" s="8"/>
      <c r="T48" s="8"/>
      <c r="U48" s="8"/>
      <c r="V48" s="8"/>
    </row>
    <row r="49" spans="2:22" ht="14.5" x14ac:dyDescent="0.35">
      <c r="B49" s="35">
        <v>2</v>
      </c>
      <c r="C49" s="33"/>
      <c r="D49" s="33"/>
      <c r="E49" s="33"/>
      <c r="F49" s="33"/>
      <c r="G49" s="33"/>
      <c r="H49" s="33">
        <f>IFERROR(IF(H$55&lt;7,,(GETPIVOTDATA("Mina lärare vet vad jag ska lära mig",pivot!$I$119,"År",2019,"Mina lärare vet vad jag ska lära mig",2))),)</f>
        <v>1.3333333333333334E-2</v>
      </c>
      <c r="I49" s="33">
        <f>IFERROR(IF(I$55&lt;7,,(GETPIVOTDATA("Mina lärare vet vad jag ska lära mig",pivot!$I$119,"År",2020,"Mina lärare vet vad jag ska lära mig",2))),)</f>
        <v>5.1546391752577317E-2</v>
      </c>
      <c r="J49" s="79">
        <f>IFERROR(IF(J$55&lt;7,,(GETPIVOTDATA("Mina lärare vet vad jag ska lära mig",pivot!$I$119,"År",2021,"Mina lärare vet vad jag ska lära mig",2))),)</f>
        <v>2.1505376344086023E-2</v>
      </c>
      <c r="K49" s="79">
        <f>IFERROR(IF(K$55&lt;7,,(GETPIVOTDATA("Mina lärare vet vad jag ska lära mig",pivot!$I$119,"År",2022,"Mina lärare vet vad jag ska lära mig",2))),)</f>
        <v>0</v>
      </c>
      <c r="L49" s="34">
        <f>IFERROR(IF(L$55&lt;7,,(GETPIVOTDATA("Mina lärare vet vad jag ska lära mig",pivot!$I$119,"År",2023,"Mina lärare vet vad jag ska lära mig",2))),)</f>
        <v>3.4090909090909088E-2</v>
      </c>
      <c r="M49" s="149">
        <v>3.4090909090909088E-2</v>
      </c>
      <c r="N49" s="8"/>
      <c r="O49" s="8"/>
      <c r="P49" s="8"/>
      <c r="Q49" s="8"/>
      <c r="R49" s="8"/>
      <c r="S49" s="8"/>
      <c r="T49" s="8"/>
      <c r="U49" s="8"/>
      <c r="V49" s="8"/>
    </row>
    <row r="50" spans="2:22" ht="14.5" x14ac:dyDescent="0.35">
      <c r="B50" s="35">
        <v>3</v>
      </c>
      <c r="C50" s="33"/>
      <c r="D50" s="33"/>
      <c r="E50" s="33"/>
      <c r="F50" s="33"/>
      <c r="G50" s="33"/>
      <c r="H50" s="33">
        <f>IFERROR(IF(H$55&lt;7,,(GETPIVOTDATA("Mina lärare vet vad jag ska lära mig",pivot!$I$119,"År",2019,"Mina lärare vet vad jag ska lära mig",3))),)</f>
        <v>0.26666666666666666</v>
      </c>
      <c r="I50" s="33">
        <f>IFERROR(IF(I$55&lt;7,,(GETPIVOTDATA("Mina lärare vet vad jag ska lära mig",pivot!$I$119,"År",2020,"Mina lärare vet vad jag ska lära mig",3))),)</f>
        <v>0.38144329896907214</v>
      </c>
      <c r="J50" s="79">
        <f>IFERROR(IF(J$55&lt;7,,(GETPIVOTDATA("Mina lärare vet vad jag ska lära mig",pivot!$I$119,"År",2021,"Mina lärare vet vad jag ska lära mig",3))),)</f>
        <v>0.30107526881720431</v>
      </c>
      <c r="K50" s="79">
        <f>IFERROR(IF(K$55&lt;7,,(GETPIVOTDATA("Mina lärare vet vad jag ska lära mig",pivot!$I$119,"År",2022,"Mina lärare vet vad jag ska lära mig",3))),)</f>
        <v>0.25510204081632654</v>
      </c>
      <c r="L50" s="34">
        <f>IFERROR(IF(L$55&lt;7,,(GETPIVOTDATA("Mina lärare vet vad jag ska lära mig",pivot!$I$119,"År",2023,"Mina lärare vet vad jag ska lära mig",3))),)</f>
        <v>0.23863636363636365</v>
      </c>
      <c r="M50" s="149">
        <v>0.23863636363636365</v>
      </c>
      <c r="N50" s="8"/>
      <c r="O50" s="8"/>
      <c r="P50" s="8"/>
      <c r="Q50" s="8"/>
      <c r="R50" s="8"/>
      <c r="S50" s="8"/>
      <c r="T50" s="8"/>
      <c r="U50" s="8"/>
      <c r="V50" s="8"/>
    </row>
    <row r="51" spans="2:22" ht="14.5" x14ac:dyDescent="0.35">
      <c r="B51" s="35" t="s">
        <v>47</v>
      </c>
      <c r="C51" s="33"/>
      <c r="D51" s="33"/>
      <c r="E51" s="33"/>
      <c r="F51" s="33"/>
      <c r="G51" s="33"/>
      <c r="H51" s="33">
        <f>IFERROR(IF(H$55&lt;7,,(GETPIVOTDATA("Mina lärare vet vad jag ska lära mig",pivot!$I$119,"År",2019,"Mina lärare vet vad jag ska lära mig",4))),)</f>
        <v>0.62666666666666671</v>
      </c>
      <c r="I51" s="33">
        <f>IFERROR(IF(I$55&lt;7,,(GETPIVOTDATA("Mina lärare vet vad jag ska lära mig",pivot!$I$119,"År",2020,"Mina lärare vet vad jag ska lära mig",4))),)</f>
        <v>0.51546391752577314</v>
      </c>
      <c r="J51" s="79">
        <f>IFERROR(IF(J$55&lt;7,,(GETPIVOTDATA("Mina lärare vet vad jag ska lära mig",pivot!$I$119,"År",2021,"Mina lärare vet vad jag ska lära mig",4))),)</f>
        <v>0.58064516129032262</v>
      </c>
      <c r="K51" s="79">
        <f>IFERROR(IF(K$55&lt;7,,(GETPIVOTDATA("Mina lärare vet vad jag ska lära mig",pivot!$I$119,"År",2022,"Mina lärare vet vad jag ska lära mig",4))),)</f>
        <v>0.70408163265306123</v>
      </c>
      <c r="L51" s="34">
        <f>IFERROR(IF(L$55&lt;7,,(GETPIVOTDATA("Mina lärare vet vad jag ska lära mig",pivot!$I$119,"År",2023,"Mina lärare vet vad jag ska lära mig",4))),)</f>
        <v>0.68181818181818177</v>
      </c>
      <c r="M51" s="149">
        <v>0.68181818181818177</v>
      </c>
      <c r="N51" s="8"/>
      <c r="O51" s="8"/>
      <c r="P51" s="8"/>
      <c r="Q51" s="8"/>
      <c r="R51" s="8"/>
      <c r="S51" s="8"/>
      <c r="T51" s="8"/>
      <c r="U51" s="8"/>
      <c r="V51" s="8"/>
    </row>
    <row r="52" spans="2:22" ht="14.5" x14ac:dyDescent="0.35">
      <c r="B52" s="35" t="s">
        <v>2</v>
      </c>
      <c r="C52" s="33"/>
      <c r="D52" s="33"/>
      <c r="E52" s="33"/>
      <c r="F52" s="33"/>
      <c r="G52" s="33"/>
      <c r="H52" s="33">
        <f>IFERROR(IF(H$55&lt;7,,(GETPIVOTDATA("Mina lärare vet vad jag ska lära mig",pivot!$I$119,"År",2019,"Mina lärare vet vad jag ska lära mig",5))),)</f>
        <v>6.6666666666666666E-2</v>
      </c>
      <c r="I52" s="33">
        <f>IFERROR(IF(I$55&lt;7,,(GETPIVOTDATA("Mina lärare vet vad jag ska lära mig",pivot!$I$119,"År",2020,"Mina lärare vet vad jag ska lära mig",5))),)</f>
        <v>3.0927835051546393E-2</v>
      </c>
      <c r="J52" s="79">
        <f>IFERROR(IF(J$55&lt;7,,(GETPIVOTDATA("Mina lärare vet vad jag ska lära mig",pivot!$I$119,"År",2021,"Mina lärare vet vad jag ska lära mig",5))),)</f>
        <v>7.5268817204301078E-2</v>
      </c>
      <c r="K52" s="79">
        <f>IFERROR(IF(K$55&lt;7,,(GETPIVOTDATA("Mina lärare vet vad jag ska lära mig",pivot!$I$119,"År",2022,"Mina lärare vet vad jag ska lära mig",5))),)</f>
        <v>4.0816326530612242E-2</v>
      </c>
      <c r="L52" s="34">
        <f>IFERROR(IF(L$55&lt;7,,(GETPIVOTDATA("Mina lärare vet vad jag ska lära mig",pivot!$I$119,"År",2023,"Mina lärare vet vad jag ska lära mig",5))),)</f>
        <v>3.4090909090909088E-2</v>
      </c>
      <c r="M52" s="149">
        <v>3.4090909090909088E-2</v>
      </c>
      <c r="N52" s="8"/>
      <c r="O52" s="8"/>
      <c r="P52" s="8"/>
      <c r="Q52" s="8"/>
      <c r="R52" s="8"/>
      <c r="S52" s="8"/>
      <c r="T52" s="8"/>
      <c r="U52" s="8"/>
      <c r="V52" s="8"/>
    </row>
    <row r="53" spans="2:22" ht="14.5" x14ac:dyDescent="0.35">
      <c r="B53" s="32" t="s">
        <v>6</v>
      </c>
      <c r="C53" s="33"/>
      <c r="D53" s="33"/>
      <c r="E53" s="33"/>
      <c r="F53" s="33"/>
      <c r="G53" s="33"/>
      <c r="H53" s="33">
        <f>IFERROR(SUM(H48:H52),"-")</f>
        <v>1</v>
      </c>
      <c r="I53" s="33">
        <f>IFERROR(SUM(I48:I52),"-")</f>
        <v>0.99999999999999989</v>
      </c>
      <c r="J53" s="79">
        <f>IFERROR(SUM(J48:J52),"-")</f>
        <v>1</v>
      </c>
      <c r="K53" s="79">
        <f>IFERROR(SUM(K48:K52),"-")</f>
        <v>1</v>
      </c>
      <c r="L53" s="34">
        <f>IFERROR(SUM(L48:L52),"-")</f>
        <v>0.99999999999999989</v>
      </c>
      <c r="M53" s="149">
        <v>0.99999999999999989</v>
      </c>
      <c r="N53" s="8"/>
      <c r="O53" s="8"/>
      <c r="P53" s="8"/>
      <c r="Q53" s="8"/>
      <c r="R53" s="8"/>
      <c r="S53" s="8"/>
      <c r="T53" s="8"/>
      <c r="U53" s="8"/>
      <c r="V53" s="8"/>
    </row>
    <row r="54" spans="2:22" ht="14.5" x14ac:dyDescent="0.35">
      <c r="B54" s="103" t="s">
        <v>7</v>
      </c>
      <c r="C54" s="104"/>
      <c r="D54" s="104"/>
      <c r="E54" s="104"/>
      <c r="F54" s="104"/>
      <c r="G54" s="104"/>
      <c r="H54" s="105">
        <f>IFERROR(IF(H$55&lt;7,,((GETPIVOTDATA("Mina lärare vet vad jag ska lära mig",pivot!$P$120,"År",2019)))),)</f>
        <v>3.6</v>
      </c>
      <c r="I54" s="105">
        <f>IFERROR(IF(I$55&lt;7,,((GETPIVOTDATA("Mina lärare vet vad jag ska lära mig",pivot!$P$120,"År",2020)))),)</f>
        <v>3.4361702127659575</v>
      </c>
      <c r="J54" s="163">
        <f>IFERROR(IF(J$55&lt;7,,((GETPIVOTDATA("Mina lärare vet vad jag ska lära mig",pivot!$P$120,"År",2021)))),)</f>
        <v>3.558139534883721</v>
      </c>
      <c r="K54" s="165">
        <f>IFERROR(IF(K$55&lt;7,,((GETPIVOTDATA("Mina lärare vet vad jag ska lära mig",pivot!$P$120,"År",2022)))),)</f>
        <v>3.7340425531914891</v>
      </c>
      <c r="L54" s="148">
        <f>IFERROR(IF(L$55&lt;7,,((GETPIVOTDATA("Mina lärare vet vad jag ska lära mig",pivot!$P$120,"År",2023)))),)</f>
        <v>3.6470588235294117</v>
      </c>
      <c r="M54" s="104">
        <v>3.6470588235294117</v>
      </c>
      <c r="N54" s="8"/>
      <c r="O54" s="8"/>
      <c r="P54" s="8"/>
      <c r="Q54" s="8"/>
      <c r="R54" s="8"/>
      <c r="S54" s="8"/>
      <c r="T54" s="8"/>
      <c r="U54" s="8"/>
      <c r="V54" s="8"/>
    </row>
    <row r="55" spans="2:22" ht="14.5" x14ac:dyDescent="0.35">
      <c r="B55" s="32" t="s">
        <v>8</v>
      </c>
      <c r="C55" s="36"/>
      <c r="D55" s="36"/>
      <c r="E55" s="36"/>
      <c r="F55" s="36"/>
      <c r="G55" s="36"/>
      <c r="H55" s="86">
        <f>IFERROR(GETPIVOTDATA("Mina lärare vet vad jag ska lära mig",pivot!$A$119,"År",2019),)</f>
        <v>75</v>
      </c>
      <c r="I55" s="86">
        <f>IFERROR(GETPIVOTDATA("Mina lärare vet vad jag ska lära mig",pivot!$A$119,"År",2020),)</f>
        <v>97</v>
      </c>
      <c r="J55" s="146">
        <f>IFERROR(GETPIVOTDATA("Mina lärare vet vad jag ska lära mig",pivot!$A$119,"År",2021),)</f>
        <v>93</v>
      </c>
      <c r="K55" s="146">
        <f>IFERROR(GETPIVOTDATA("Mina lärare vet vad jag ska lära mig",pivot!$A$119,"År",2022),)</f>
        <v>98</v>
      </c>
      <c r="L55" s="37">
        <f>IFERROR(GETPIVOTDATA("Mina lärare vet vad jag ska lära mig",pivot!$A$119,"År",2023),)</f>
        <v>88</v>
      </c>
      <c r="M55" s="36">
        <v>88</v>
      </c>
      <c r="N55" s="8"/>
      <c r="O55" s="8"/>
      <c r="P55" s="8"/>
      <c r="Q55" s="8"/>
      <c r="R55" s="8"/>
      <c r="S55" s="8"/>
      <c r="T55" s="8"/>
      <c r="U55" s="8"/>
      <c r="V55" s="8"/>
    </row>
    <row r="56" spans="2:22" ht="14.5" x14ac:dyDescent="0.35">
      <c r="C56" s="9"/>
      <c r="D56" s="17"/>
      <c r="E56" s="17"/>
      <c r="F56" s="17"/>
      <c r="H56" s="17"/>
      <c r="J56" s="10"/>
      <c r="M56" s="9"/>
      <c r="N56" s="8"/>
      <c r="O56" s="8"/>
      <c r="P56" s="8"/>
      <c r="Q56" s="8"/>
      <c r="R56" s="8"/>
      <c r="S56" s="8"/>
      <c r="T56" s="8"/>
      <c r="U56" s="8"/>
      <c r="V56" s="8"/>
    </row>
    <row r="57" spans="2:22" ht="14.5" x14ac:dyDescent="0.35">
      <c r="C57" s="9"/>
      <c r="D57" s="17"/>
      <c r="E57" s="17"/>
      <c r="F57" s="17"/>
      <c r="H57" s="17"/>
      <c r="J57" s="10"/>
      <c r="M57" s="9"/>
      <c r="N57" s="8"/>
      <c r="O57" s="8"/>
      <c r="P57" s="8"/>
      <c r="Q57" s="8"/>
      <c r="R57" s="8"/>
      <c r="S57" s="8"/>
      <c r="T57" s="8"/>
      <c r="U57" s="8"/>
      <c r="V57" s="8"/>
    </row>
    <row r="58" spans="2:22" ht="15.5" x14ac:dyDescent="0.35">
      <c r="B58" s="124" t="s">
        <v>56</v>
      </c>
      <c r="C58" s="9"/>
      <c r="D58" s="17"/>
      <c r="E58" s="17"/>
      <c r="F58" s="17"/>
      <c r="H58" s="17"/>
      <c r="J58" s="10"/>
      <c r="M58" s="9"/>
      <c r="N58" s="8"/>
      <c r="O58" s="8"/>
      <c r="P58" s="8"/>
      <c r="Q58" s="8"/>
      <c r="R58" s="8"/>
      <c r="S58" s="8"/>
      <c r="T58" s="8"/>
      <c r="U58" s="8"/>
      <c r="V58" s="8"/>
    </row>
    <row r="59" spans="2:22" ht="18.649999999999999" customHeight="1" x14ac:dyDescent="0.35">
      <c r="B59" s="28"/>
      <c r="C59" s="38"/>
      <c r="D59" s="18"/>
      <c r="E59" s="18"/>
      <c r="F59" s="18"/>
      <c r="I59" s="15"/>
      <c r="J59" s="15"/>
      <c r="K59" s="15"/>
      <c r="L59" s="108" t="str">
        <f>$G$7</f>
        <v>(Alla)</v>
      </c>
      <c r="M59" s="177" t="s">
        <v>6</v>
      </c>
      <c r="N59" s="8"/>
      <c r="O59" s="8"/>
      <c r="P59" s="8"/>
      <c r="Q59" s="8"/>
      <c r="R59" s="8"/>
      <c r="S59" s="8"/>
      <c r="T59" s="8"/>
      <c r="U59" s="8"/>
      <c r="V59" s="8"/>
    </row>
    <row r="60" spans="2:22" ht="14.5" x14ac:dyDescent="0.35">
      <c r="B60" s="29"/>
      <c r="C60" s="30"/>
      <c r="D60" s="30"/>
      <c r="E60" s="30"/>
      <c r="F60" s="30"/>
      <c r="G60" s="30"/>
      <c r="H60" s="30">
        <v>2019</v>
      </c>
      <c r="I60" s="30">
        <v>2020</v>
      </c>
      <c r="J60" s="93">
        <v>2021</v>
      </c>
      <c r="K60" s="93">
        <v>2022</v>
      </c>
      <c r="L60" s="31">
        <v>2023</v>
      </c>
      <c r="M60" s="30">
        <v>2023</v>
      </c>
      <c r="N60" s="8"/>
      <c r="O60" s="8"/>
      <c r="P60" s="8"/>
      <c r="Q60" s="8"/>
      <c r="R60" s="8"/>
      <c r="S60" s="8"/>
      <c r="T60" s="8"/>
      <c r="U60" s="8"/>
      <c r="V60" s="8"/>
    </row>
    <row r="61" spans="2:22" ht="14.5" x14ac:dyDescent="0.35">
      <c r="B61" s="32" t="s">
        <v>46</v>
      </c>
      <c r="C61" s="33"/>
      <c r="D61" s="33"/>
      <c r="E61" s="33"/>
      <c r="F61" s="33"/>
      <c r="G61" s="33"/>
      <c r="H61" s="33">
        <f>IFERROR(IF(H$68&lt;7,,((GETPIVOTDATA("När jag vill lära mig mer får jag nya uppgifter",pivot!$I$131,"År",2019,"När jag vill lära mig mer får jag nya uppgifter",1)))),)</f>
        <v>1.2658227848101266E-2</v>
      </c>
      <c r="I61" s="33">
        <f>IFERROR(IF(I$68&lt;7,,((GETPIVOTDATA("När jag vill lära mig mer får jag nya uppgifter",pivot!$I$131,"År",2020,"När jag vill lära mig mer får jag nya uppgifter",1)))),)</f>
        <v>2.1052631578947368E-2</v>
      </c>
      <c r="J61" s="79">
        <f>IFERROR(IF(J$68&lt;7,,((GETPIVOTDATA("När jag vill lära mig mer får jag nya uppgifter",pivot!$I$131,"År",2021,"När jag vill lära mig mer får jag nya uppgifter",1)))),)</f>
        <v>4.2553191489361701E-2</v>
      </c>
      <c r="K61" s="79">
        <f>IFERROR(IF(K$68&lt;7,,((GETPIVOTDATA("När jag vill lära mig mer får jag nya uppgifter",pivot!$I$131,"År",2022,"När jag vill lära mig mer får jag nya uppgifter",1)))),)</f>
        <v>0</v>
      </c>
      <c r="L61" s="34">
        <f>IFERROR(IF(L$68&lt;7,,((GETPIVOTDATA("När jag vill lära mig mer får jag nya uppgifter",pivot!$I$131,"År",2023,"När jag vill lära mig mer får jag nya uppgifter",1)))),)</f>
        <v>3.4482758620689655E-2</v>
      </c>
      <c r="M61" s="149">
        <v>3.4482758620689655E-2</v>
      </c>
      <c r="N61" s="8"/>
      <c r="O61" s="8"/>
      <c r="P61" s="8"/>
      <c r="Q61" s="8"/>
      <c r="R61" s="8"/>
      <c r="S61" s="8"/>
      <c r="T61" s="8"/>
      <c r="U61" s="8"/>
      <c r="V61" s="8"/>
    </row>
    <row r="62" spans="2:22" ht="14.5" x14ac:dyDescent="0.35">
      <c r="B62" s="35">
        <v>2</v>
      </c>
      <c r="C62" s="33"/>
      <c r="D62" s="33"/>
      <c r="E62" s="33"/>
      <c r="F62" s="33"/>
      <c r="G62" s="33"/>
      <c r="H62" s="33">
        <f>IFERROR(IF(H$68&lt;7,,((GETPIVOTDATA("När jag vill lära mig mer får jag nya uppgifter",pivot!$I$131,"År",2019,"När jag vill lära mig mer får jag nya uppgifter",2)))),)</f>
        <v>1.2658227848101266E-2</v>
      </c>
      <c r="I62" s="33">
        <f>IFERROR(IF(I$68&lt;7,,((GETPIVOTDATA("När jag vill lära mig mer får jag nya uppgifter",pivot!$I$131,"År",2020,"När jag vill lära mig mer får jag nya uppgifter",2)))),)</f>
        <v>1.0526315789473684E-2</v>
      </c>
      <c r="J62" s="79">
        <f>IFERROR(IF(J$68&lt;7,,((GETPIVOTDATA("När jag vill lära mig mer får jag nya uppgifter",pivot!$I$131,"År",2021,"När jag vill lära mig mer får jag nya uppgifter",2)))),)</f>
        <v>3.1914893617021274E-2</v>
      </c>
      <c r="K62" s="79">
        <f>IFERROR(IF(K$68&lt;7,,((GETPIVOTDATA("När jag vill lära mig mer får jag nya uppgifter",pivot!$I$131,"År",2022,"När jag vill lära mig mer får jag nya uppgifter",2)))),)</f>
        <v>2.0833333333333332E-2</v>
      </c>
      <c r="L62" s="34">
        <f>IFERROR(IF(L$68&lt;7,,((GETPIVOTDATA("När jag vill lära mig mer får jag nya uppgifter",pivot!$I$131,"År",2023,"När jag vill lära mig mer får jag nya uppgifter",2)))),)</f>
        <v>1.1494252873563218E-2</v>
      </c>
      <c r="M62" s="149">
        <v>1.1494252873563218E-2</v>
      </c>
      <c r="N62" s="8"/>
      <c r="O62" s="8"/>
      <c r="P62" s="8"/>
      <c r="Q62" s="8"/>
      <c r="R62" s="8"/>
      <c r="S62" s="8"/>
      <c r="T62" s="8"/>
      <c r="U62" s="8"/>
      <c r="V62" s="8"/>
    </row>
    <row r="63" spans="2:22" ht="14.5" x14ac:dyDescent="0.35">
      <c r="B63" s="35">
        <v>3</v>
      </c>
      <c r="C63" s="33"/>
      <c r="D63" s="33"/>
      <c r="E63" s="33"/>
      <c r="F63" s="33"/>
      <c r="G63" s="33"/>
      <c r="H63" s="33">
        <f>IFERROR(IF(H$68&lt;7,,((GETPIVOTDATA("När jag vill lära mig mer får jag nya uppgifter",pivot!$I$131,"År",2019,"När jag vill lära mig mer får jag nya uppgifter",3)))),)</f>
        <v>0.31645569620253167</v>
      </c>
      <c r="I63" s="33">
        <f>IFERROR(IF(I$68&lt;7,,((GETPIVOTDATA("När jag vill lära mig mer får jag nya uppgifter",pivot!$I$131,"År",2020,"När jag vill lära mig mer får jag nya uppgifter",3)))),)</f>
        <v>0.29473684210526313</v>
      </c>
      <c r="J63" s="79">
        <f>IFERROR(IF(J$68&lt;7,,((GETPIVOTDATA("När jag vill lära mig mer får jag nya uppgifter",pivot!$I$131,"År",2021,"När jag vill lära mig mer får jag nya uppgifter",3)))),)</f>
        <v>0.31914893617021278</v>
      </c>
      <c r="K63" s="79">
        <f>IFERROR(IF(K$68&lt;7,,((GETPIVOTDATA("När jag vill lära mig mer får jag nya uppgifter",pivot!$I$131,"År",2022,"När jag vill lära mig mer får jag nya uppgifter",3)))),)</f>
        <v>0.27083333333333331</v>
      </c>
      <c r="L63" s="34">
        <f>IFERROR(IF(L$68&lt;7,,((GETPIVOTDATA("När jag vill lära mig mer får jag nya uppgifter",pivot!$I$131,"År",2023,"När jag vill lära mig mer får jag nya uppgifter",3)))),)</f>
        <v>0.27586206896551724</v>
      </c>
      <c r="M63" s="149">
        <v>0.27586206896551724</v>
      </c>
      <c r="N63" s="8"/>
      <c r="O63" s="8"/>
      <c r="P63" s="8"/>
      <c r="Q63" s="8"/>
      <c r="R63" s="8"/>
      <c r="S63" s="8"/>
      <c r="T63" s="8"/>
      <c r="U63" s="8"/>
      <c r="V63" s="8"/>
    </row>
    <row r="64" spans="2:22" ht="14.5" x14ac:dyDescent="0.35">
      <c r="B64" s="35" t="s">
        <v>47</v>
      </c>
      <c r="C64" s="33"/>
      <c r="D64" s="33"/>
      <c r="E64" s="33"/>
      <c r="F64" s="33"/>
      <c r="G64" s="33"/>
      <c r="H64" s="33">
        <f>IFERROR(IF(H$68&lt;7,,((GETPIVOTDATA("När jag vill lära mig mer får jag nya uppgifter",pivot!$I$131,"År",2019,"När jag vill lära mig mer får jag nya uppgifter",4)))),)</f>
        <v>0.63291139240506333</v>
      </c>
      <c r="I64" s="33">
        <f>IFERROR(IF(I$68&lt;7,,((GETPIVOTDATA("När jag vill lära mig mer får jag nya uppgifter",pivot!$I$131,"År",2020,"När jag vill lära mig mer får jag nya uppgifter",4)))),)</f>
        <v>0.56842105263157894</v>
      </c>
      <c r="J64" s="79">
        <f>IFERROR(IF(J$68&lt;7,,((GETPIVOTDATA("När jag vill lära mig mer får jag nya uppgifter",pivot!$I$131,"År",2021,"När jag vill lära mig mer får jag nya uppgifter",4)))),)</f>
        <v>0.53191489361702127</v>
      </c>
      <c r="K64" s="79">
        <f>IFERROR(IF(K$68&lt;7,,((GETPIVOTDATA("När jag vill lära mig mer får jag nya uppgifter",pivot!$I$131,"År",2022,"När jag vill lära mig mer får jag nya uppgifter",4)))),)</f>
        <v>0.64583333333333337</v>
      </c>
      <c r="L64" s="34">
        <f>IFERROR(IF(L$68&lt;7,,((GETPIVOTDATA("När jag vill lära mig mer får jag nya uppgifter",pivot!$I$131,"År",2023,"När jag vill lära mig mer får jag nya uppgifter",4)))),)</f>
        <v>0.66666666666666663</v>
      </c>
      <c r="M64" s="149">
        <v>0.66666666666666663</v>
      </c>
      <c r="N64" s="8"/>
      <c r="O64" s="8"/>
      <c r="P64" s="8"/>
      <c r="Q64" s="8"/>
      <c r="R64" s="8"/>
      <c r="S64" s="8"/>
      <c r="T64" s="8"/>
      <c r="U64" s="8"/>
      <c r="V64" s="8"/>
    </row>
    <row r="65" spans="2:22" ht="14.5" x14ac:dyDescent="0.35">
      <c r="B65" s="35" t="s">
        <v>2</v>
      </c>
      <c r="C65" s="33"/>
      <c r="D65" s="33"/>
      <c r="E65" s="33"/>
      <c r="F65" s="33"/>
      <c r="G65" s="33"/>
      <c r="H65" s="33">
        <f>IFERROR(IF(H$68&lt;7,,((GETPIVOTDATA("När jag vill lära mig mer får jag nya uppgifter",pivot!$I$131,"År",2019,"När jag vill lära mig mer får jag nya uppgifter",5)))),)</f>
        <v>2.5316455696202531E-2</v>
      </c>
      <c r="I65" s="33">
        <f>IFERROR(IF(I$68&lt;7,,((GETPIVOTDATA("När jag vill lära mig mer får jag nya uppgifter",pivot!$I$131,"År",2020,"När jag vill lära mig mer får jag nya uppgifter",5)))),)</f>
        <v>0.10526315789473684</v>
      </c>
      <c r="J65" s="79">
        <f>IFERROR(IF(J$68&lt;7,,((GETPIVOTDATA("När jag vill lära mig mer får jag nya uppgifter",pivot!$I$131,"År",2021,"När jag vill lära mig mer får jag nya uppgifter",5)))),)</f>
        <v>7.4468085106382975E-2</v>
      </c>
      <c r="K65" s="79">
        <f>IFERROR(IF(K$68&lt;7,,((GETPIVOTDATA("När jag vill lära mig mer får jag nya uppgifter",pivot!$I$131,"År",2022,"När jag vill lära mig mer får jag nya uppgifter",5)))),)</f>
        <v>6.25E-2</v>
      </c>
      <c r="L65" s="34">
        <f>IFERROR(IF(L$68&lt;7,,((GETPIVOTDATA("När jag vill lära mig mer får jag nya uppgifter",pivot!$I$131,"År",2023,"När jag vill lära mig mer får jag nya uppgifter",5)))),)</f>
        <v>1.1494252873563218E-2</v>
      </c>
      <c r="M65" s="149">
        <v>1.1494252873563218E-2</v>
      </c>
      <c r="N65" s="8"/>
      <c r="O65" s="8"/>
      <c r="P65" s="8"/>
      <c r="Q65" s="8"/>
      <c r="R65" s="8"/>
      <c r="S65" s="8"/>
      <c r="T65" s="8"/>
      <c r="U65" s="8"/>
      <c r="V65" s="8"/>
    </row>
    <row r="66" spans="2:22" ht="14.5" x14ac:dyDescent="0.35">
      <c r="B66" s="32" t="s">
        <v>6</v>
      </c>
      <c r="C66" s="33"/>
      <c r="D66" s="33"/>
      <c r="E66" s="33"/>
      <c r="F66" s="33"/>
      <c r="G66" s="33"/>
      <c r="H66" s="33">
        <f>IFERROR(SUM(H61:H65),"-")</f>
        <v>1</v>
      </c>
      <c r="I66" s="33">
        <f>IFERROR(SUM(I61:I65),"-")</f>
        <v>0.99999999999999989</v>
      </c>
      <c r="J66" s="79">
        <f>IFERROR(SUM(J61:J65),"-")</f>
        <v>1</v>
      </c>
      <c r="K66" s="79">
        <f>IFERROR(SUM(K61:K65),"-")</f>
        <v>1</v>
      </c>
      <c r="L66" s="34">
        <f>IFERROR(SUM(L61:L65),"-")</f>
        <v>0.99999999999999989</v>
      </c>
      <c r="M66" s="149">
        <v>0.99999999999999989</v>
      </c>
      <c r="N66" s="8"/>
      <c r="O66" s="8"/>
      <c r="P66" s="8"/>
      <c r="Q66" s="8"/>
      <c r="R66" s="8"/>
      <c r="S66" s="8"/>
      <c r="T66" s="8"/>
      <c r="U66" s="8"/>
      <c r="V66" s="8"/>
    </row>
    <row r="67" spans="2:22" ht="14.5" x14ac:dyDescent="0.35">
      <c r="B67" s="103" t="s">
        <v>7</v>
      </c>
      <c r="C67" s="104"/>
      <c r="D67" s="104"/>
      <c r="E67" s="104"/>
      <c r="F67" s="104"/>
      <c r="G67" s="104"/>
      <c r="H67" s="105">
        <f>IFERROR(IF(H$68&lt;7,,((GETPIVOTDATA("När jag vill lära mig mer får jag nya uppgifter",pivot!$P$131,"År",2019)))),)</f>
        <v>3.6103896103896105</v>
      </c>
      <c r="I67" s="105">
        <f>IFERROR(IF(I$68&lt;7,,((GETPIVOTDATA("När jag vill lära mig mer får jag nya uppgifter",pivot!$P$131,"År",2020)))),)</f>
        <v>3.5764705882352943</v>
      </c>
      <c r="J67" s="163">
        <f>IFERROR(IF(J$68&lt;7,,((GETPIVOTDATA("När jag vill lära mig mer får jag nya uppgifter",pivot!$P$131,"År",2021)))),)</f>
        <v>3.4482758620689653</v>
      </c>
      <c r="K67" s="165">
        <f>IFERROR(IF(K$68&lt;7,,((GETPIVOTDATA("När jag vill lära mig mer får jag nya uppgifter",pivot!$P$131,"År",2022)))),)</f>
        <v>3.6666666666666665</v>
      </c>
      <c r="L67" s="148">
        <f>IFERROR(IF(L$68&lt;7,,((GETPIVOTDATA("När jag vill lära mig mer får jag nya uppgifter",pivot!$P$131,"År",2023)))),)</f>
        <v>3.5930232558139537</v>
      </c>
      <c r="M67" s="104">
        <v>3.5930232558139537</v>
      </c>
      <c r="N67" s="8"/>
      <c r="O67" s="8"/>
      <c r="P67" s="8"/>
      <c r="Q67" s="8"/>
      <c r="R67" s="8"/>
      <c r="S67" s="8"/>
      <c r="T67" s="8"/>
      <c r="U67" s="8"/>
      <c r="V67" s="8"/>
    </row>
    <row r="68" spans="2:22" ht="14.5" x14ac:dyDescent="0.35">
      <c r="B68" s="32" t="s">
        <v>8</v>
      </c>
      <c r="C68" s="36"/>
      <c r="D68" s="36"/>
      <c r="E68" s="36"/>
      <c r="F68" s="36"/>
      <c r="G68" s="36"/>
      <c r="H68" s="36">
        <f>IFERROR(GETPIVOTDATA("När jag vill lära mig mer får jag nya uppgifter",pivot!$A$131,"År",2019),)</f>
        <v>79</v>
      </c>
      <c r="I68" s="36">
        <f>IFERROR(GETPIVOTDATA("När jag vill lära mig mer får jag nya uppgifter",pivot!$A$131,"År",2020),)</f>
        <v>95</v>
      </c>
      <c r="J68" s="92">
        <f>IFERROR(GETPIVOTDATA("När jag vill lära mig mer får jag nya uppgifter",pivot!$A$131,"År",2021),)</f>
        <v>94</v>
      </c>
      <c r="K68" s="92">
        <f>IFERROR(GETPIVOTDATA("När jag vill lära mig mer får jag nya uppgifter",pivot!$A$131,"År",2022),)</f>
        <v>96</v>
      </c>
      <c r="L68" s="39">
        <f>IFERROR(GETPIVOTDATA("När jag vill lära mig mer får jag nya uppgifter",pivot!$A$131,"År",2023),)</f>
        <v>87</v>
      </c>
      <c r="M68" s="36">
        <v>87</v>
      </c>
      <c r="N68" s="8"/>
      <c r="O68" s="8"/>
      <c r="P68" s="8"/>
      <c r="Q68" s="8"/>
      <c r="R68" s="8"/>
      <c r="S68" s="8"/>
      <c r="T68" s="8"/>
      <c r="U68" s="8"/>
      <c r="V68" s="8"/>
    </row>
    <row r="69" spans="2:22" ht="14.5" x14ac:dyDescent="0.35">
      <c r="D69" s="18"/>
      <c r="E69" s="18"/>
      <c r="F69" s="18"/>
      <c r="G69" s="18"/>
      <c r="H69" s="18"/>
      <c r="I69" s="9"/>
      <c r="K69" s="9"/>
      <c r="L69" s="9"/>
      <c r="M69" s="9"/>
      <c r="N69" s="8"/>
      <c r="O69" s="8"/>
      <c r="P69" s="8"/>
      <c r="Q69" s="8"/>
      <c r="R69" s="8"/>
      <c r="S69" s="8"/>
      <c r="T69" s="8"/>
      <c r="U69" s="8"/>
      <c r="V69" s="8"/>
    </row>
    <row r="70" spans="2:22" ht="14.5" x14ac:dyDescent="0.35">
      <c r="D70" s="18"/>
      <c r="E70" s="18"/>
      <c r="F70" s="18"/>
      <c r="G70" s="18"/>
      <c r="H70" s="18"/>
      <c r="I70" s="9"/>
      <c r="K70" s="9"/>
      <c r="L70" s="9"/>
      <c r="M70" s="9"/>
      <c r="N70" s="8"/>
      <c r="O70" s="8"/>
      <c r="P70" s="8"/>
      <c r="Q70" s="8"/>
      <c r="R70" s="8"/>
      <c r="S70" s="8"/>
      <c r="T70" s="8"/>
      <c r="U70" s="8"/>
      <c r="V70" s="8"/>
    </row>
    <row r="71" spans="2:22" ht="15.5" x14ac:dyDescent="0.35">
      <c r="B71" s="124" t="s">
        <v>66</v>
      </c>
      <c r="C71" s="27"/>
      <c r="D71" s="18"/>
      <c r="E71" s="18"/>
      <c r="F71" s="18"/>
      <c r="G71" s="18"/>
      <c r="H71" s="18"/>
      <c r="I71" s="9"/>
      <c r="K71" s="9"/>
      <c r="L71" s="9"/>
      <c r="M71" s="9"/>
      <c r="N71" s="8"/>
      <c r="O71" s="8"/>
      <c r="P71" s="8"/>
      <c r="Q71" s="8"/>
      <c r="R71" s="8"/>
      <c r="S71" s="8"/>
      <c r="T71" s="8"/>
      <c r="U71" s="8"/>
      <c r="V71" s="8"/>
    </row>
    <row r="72" spans="2:22" ht="15.65" customHeight="1" x14ac:dyDescent="0.35">
      <c r="B72" s="28"/>
      <c r="C72" s="38"/>
      <c r="D72" s="18"/>
      <c r="E72" s="18"/>
      <c r="F72" s="18"/>
      <c r="G72" s="18"/>
      <c r="I72" s="15"/>
      <c r="J72" s="15"/>
      <c r="K72" s="15"/>
      <c r="L72" s="108" t="str">
        <f>$G$7</f>
        <v>(Alla)</v>
      </c>
      <c r="M72" s="177" t="s">
        <v>6</v>
      </c>
      <c r="N72" s="8"/>
      <c r="O72" s="8"/>
      <c r="P72" s="8"/>
      <c r="Q72" s="8"/>
      <c r="R72" s="8"/>
      <c r="S72" s="8"/>
      <c r="T72" s="8"/>
      <c r="U72" s="8"/>
      <c r="V72" s="8"/>
    </row>
    <row r="73" spans="2:22" ht="14.5" x14ac:dyDescent="0.35">
      <c r="B73" s="29"/>
      <c r="C73" s="30"/>
      <c r="D73" s="30"/>
      <c r="E73" s="30"/>
      <c r="F73" s="30"/>
      <c r="G73" s="30"/>
      <c r="H73" s="30">
        <v>2019</v>
      </c>
      <c r="I73" s="30">
        <v>2020</v>
      </c>
      <c r="J73" s="93">
        <v>2021</v>
      </c>
      <c r="K73" s="93">
        <v>2022</v>
      </c>
      <c r="L73" s="31">
        <v>2023</v>
      </c>
      <c r="M73" s="30">
        <v>2023</v>
      </c>
      <c r="N73" s="8"/>
      <c r="O73" s="8"/>
      <c r="P73" s="8"/>
      <c r="Q73" s="8"/>
      <c r="R73" s="8"/>
      <c r="S73" s="8"/>
      <c r="T73" s="8"/>
      <c r="U73" s="8"/>
      <c r="V73" s="8"/>
    </row>
    <row r="74" spans="2:22" ht="14.5" x14ac:dyDescent="0.35">
      <c r="B74" s="32" t="s">
        <v>46</v>
      </c>
      <c r="C74" s="33"/>
      <c r="D74" s="33"/>
      <c r="E74" s="33"/>
      <c r="F74" s="33"/>
      <c r="G74" s="33"/>
      <c r="H74" s="33">
        <f>IFERROR(IF(H$81&lt;7,,(GETPIVOTDATA("Jag känner att jag lyckas i skolan",pivot!$I$142,"År",2019,"Jag känner att jag lyckas i skolan",1))),)</f>
        <v>0</v>
      </c>
      <c r="I74" s="33">
        <f>IFERROR(IF(I$81&lt;7,,(GETPIVOTDATA("Jag känner att jag lyckas i skolan",pivot!$I$142,"År",2020,"Jag känner att jag lyckas i skolan",1))),)</f>
        <v>1.0416666666666666E-2</v>
      </c>
      <c r="J74" s="79">
        <f>IFERROR(IF(J$81&lt;7,,(GETPIVOTDATA("Jag känner att jag lyckas i skolan",pivot!$I$142,"År",2021,"Jag känner att jag lyckas i skolan",1))),)</f>
        <v>1.0752688172043012E-2</v>
      </c>
      <c r="K74" s="79">
        <f>IFERROR(IF(K$81&lt;7,,(GETPIVOTDATA("Jag känner att jag lyckas i skolan",pivot!$I$142,"År",2022,"Jag känner att jag lyckas i skolan",1))),)</f>
        <v>1.0416666666666666E-2</v>
      </c>
      <c r="L74" s="34">
        <f>IFERROR(IF(L$81&lt;7,,(GETPIVOTDATA("Jag känner att jag lyckas i skolan",pivot!$I$142,"År",2023,"Jag känner att jag lyckas i skolan",1))),)</f>
        <v>2.2727272727272728E-2</v>
      </c>
      <c r="M74" s="149">
        <v>2.2727272727272728E-2</v>
      </c>
      <c r="N74" s="8"/>
      <c r="O74" s="8"/>
      <c r="P74" s="8"/>
      <c r="Q74" s="8"/>
      <c r="R74" s="8"/>
      <c r="S74" s="8"/>
      <c r="T74" s="8"/>
      <c r="U74" s="8"/>
      <c r="V74" s="8"/>
    </row>
    <row r="75" spans="2:22" ht="14.5" x14ac:dyDescent="0.35">
      <c r="B75" s="35">
        <v>2</v>
      </c>
      <c r="C75" s="33"/>
      <c r="D75" s="33"/>
      <c r="E75" s="33"/>
      <c r="F75" s="33"/>
      <c r="G75" s="33"/>
      <c r="H75" s="33">
        <f>IFERROR(IF(H$81&lt;7,,(GETPIVOTDATA("Jag känner att jag lyckas i skolan",pivot!$I$142,"År",2019,"Jag känner att jag lyckas i skolan",2))),)</f>
        <v>5.0632911392405063E-2</v>
      </c>
      <c r="I75" s="33">
        <f>IFERROR(IF(I$81&lt;7,,(GETPIVOTDATA("Jag känner att jag lyckas i skolan",pivot!$I$142,"År",2020,"Jag känner att jag lyckas i skolan",2))),)</f>
        <v>2.0833333333333332E-2</v>
      </c>
      <c r="J75" s="79">
        <f>IFERROR(IF(J$81&lt;7,,(GETPIVOTDATA("Jag känner att jag lyckas i skolan",pivot!$I$142,"År",2021,"Jag känner att jag lyckas i skolan",2))),)</f>
        <v>5.3763440860215055E-2</v>
      </c>
      <c r="K75" s="79">
        <f>IFERROR(IF(K$81&lt;7,,(GETPIVOTDATA("Jag känner att jag lyckas i skolan",pivot!$I$142,"År",2022,"Jag känner att jag lyckas i skolan",2))),)</f>
        <v>2.0833333333333332E-2</v>
      </c>
      <c r="L75" s="34">
        <f>IFERROR(IF(L$81&lt;7,,(GETPIVOTDATA("Jag känner att jag lyckas i skolan",pivot!$I$142,"År",2023,"Jag känner att jag lyckas i skolan",2))),)</f>
        <v>5.6818181818181816E-2</v>
      </c>
      <c r="M75" s="149">
        <v>5.6818181818181816E-2</v>
      </c>
      <c r="N75" s="8"/>
      <c r="O75" s="8"/>
      <c r="P75" s="8"/>
      <c r="Q75" s="8"/>
      <c r="R75" s="8"/>
      <c r="S75" s="8"/>
      <c r="T75" s="8"/>
      <c r="U75" s="8"/>
      <c r="V75" s="8"/>
    </row>
    <row r="76" spans="2:22" ht="14.5" x14ac:dyDescent="0.35">
      <c r="B76" s="35">
        <v>3</v>
      </c>
      <c r="C76" s="33"/>
      <c r="D76" s="33"/>
      <c r="E76" s="33"/>
      <c r="F76" s="33"/>
      <c r="G76" s="33"/>
      <c r="H76" s="33">
        <f>IFERROR(IF(H$81&lt;7,,(GETPIVOTDATA("Jag känner att jag lyckas i skolan",pivot!$I$142,"År",2019,"Jag känner att jag lyckas i skolan",3))),)</f>
        <v>0.29113924050632911</v>
      </c>
      <c r="I76" s="33">
        <f>IFERROR(IF(I$81&lt;7,,(GETPIVOTDATA("Jag känner att jag lyckas i skolan",pivot!$I$142,"År",2020,"Jag känner att jag lyckas i skolan",3))),)</f>
        <v>0.32291666666666669</v>
      </c>
      <c r="J76" s="79">
        <f>IFERROR(IF(J$81&lt;7,,(GETPIVOTDATA("Jag känner att jag lyckas i skolan",pivot!$I$142,"År",2021,"Jag känner att jag lyckas i skolan",3))),)</f>
        <v>0.36559139784946237</v>
      </c>
      <c r="K76" s="79">
        <f>IFERROR(IF(K$81&lt;7,,(GETPIVOTDATA("Jag känner att jag lyckas i skolan",pivot!$I$142,"År",2022,"Jag känner att jag lyckas i skolan",3))),)</f>
        <v>0.30208333333333331</v>
      </c>
      <c r="L76" s="34">
        <f>IFERROR(IF(L$81&lt;7,,(GETPIVOTDATA("Jag känner att jag lyckas i skolan",pivot!$I$142,"År",2023,"Jag känner att jag lyckas i skolan",3))),)</f>
        <v>0.26136363636363635</v>
      </c>
      <c r="M76" s="149">
        <v>0.26136363636363635</v>
      </c>
      <c r="N76" s="8"/>
      <c r="O76" s="8"/>
      <c r="P76" s="8"/>
      <c r="Q76" s="8"/>
      <c r="R76" s="8"/>
      <c r="S76" s="8"/>
      <c r="T76" s="8"/>
      <c r="U76" s="8"/>
      <c r="V76" s="8"/>
    </row>
    <row r="77" spans="2:22" ht="14.5" x14ac:dyDescent="0.35">
      <c r="B77" s="35" t="s">
        <v>47</v>
      </c>
      <c r="C77" s="33"/>
      <c r="D77" s="33"/>
      <c r="E77" s="33"/>
      <c r="F77" s="33"/>
      <c r="G77" s="33"/>
      <c r="H77" s="33">
        <f>IFERROR(IF(H$81&lt;7,,(GETPIVOTDATA("Jag känner att jag lyckas i skolan",pivot!$I$142,"År",2019,"Jag känner att jag lyckas i skolan",4))),)</f>
        <v>0.59493670886075944</v>
      </c>
      <c r="I77" s="33">
        <f>IFERROR(IF(I$81&lt;7,,(GETPIVOTDATA("Jag känner att jag lyckas i skolan",pivot!$I$142,"År",2020,"Jag känner att jag lyckas i skolan",4))),)</f>
        <v>0.54166666666666663</v>
      </c>
      <c r="J77" s="79">
        <f>IFERROR(IF(J$81&lt;7,,(GETPIVOTDATA("Jag känner att jag lyckas i skolan",pivot!$I$142,"År",2021,"Jag känner att jag lyckas i skolan",4))),)</f>
        <v>0.5161290322580645</v>
      </c>
      <c r="K77" s="79">
        <f>IFERROR(IF(K$81&lt;7,,(GETPIVOTDATA("Jag känner att jag lyckas i skolan",pivot!$I$142,"År",2022,"Jag känner att jag lyckas i skolan",4))),)</f>
        <v>0.63541666666666663</v>
      </c>
      <c r="L77" s="34">
        <f>IFERROR(IF(L$81&lt;7,,(GETPIVOTDATA("Jag känner att jag lyckas i skolan",pivot!$I$142,"År",2023,"Jag känner att jag lyckas i skolan",4))),)</f>
        <v>0.625</v>
      </c>
      <c r="M77" s="149">
        <v>0.625</v>
      </c>
      <c r="N77" s="8"/>
      <c r="O77" s="8"/>
      <c r="P77" s="8"/>
      <c r="Q77" s="8"/>
      <c r="R77" s="8"/>
      <c r="S77" s="8"/>
      <c r="T77" s="8"/>
      <c r="U77" s="8"/>
      <c r="V77" s="8"/>
    </row>
    <row r="78" spans="2:22" ht="14.5" x14ac:dyDescent="0.35">
      <c r="B78" s="35" t="s">
        <v>2</v>
      </c>
      <c r="C78" s="33"/>
      <c r="D78" s="33"/>
      <c r="E78" s="33"/>
      <c r="F78" s="33"/>
      <c r="G78" s="33"/>
      <c r="H78" s="33">
        <f>IFERROR(IF(H$81&lt;7,,(GETPIVOTDATA("Jag känner att jag lyckas i skolan",pivot!$I$142,"År",2019,"Jag känner att jag lyckas i skolan",5))),)</f>
        <v>6.3291139240506333E-2</v>
      </c>
      <c r="I78" s="33">
        <f>IFERROR(IF(I$81&lt;7,,(GETPIVOTDATA("Jag känner att jag lyckas i skolan",pivot!$I$142,"År",2020,"Jag känner att jag lyckas i skolan",5))),)</f>
        <v>0.10416666666666667</v>
      </c>
      <c r="J78" s="79">
        <f>IFERROR(IF(J$81&lt;7,,(GETPIVOTDATA("Jag känner att jag lyckas i skolan",pivot!$I$142,"År",2021,"Jag känner att jag lyckas i skolan",5))),)</f>
        <v>5.3763440860215055E-2</v>
      </c>
      <c r="K78" s="79">
        <f>IFERROR(IF(K$81&lt;7,,(GETPIVOTDATA("Jag känner att jag lyckas i skolan",pivot!$I$142,"År",2022,"Jag känner att jag lyckas i skolan",5))),)</f>
        <v>3.125E-2</v>
      </c>
      <c r="L78" s="34">
        <f>IFERROR(IF(L$81&lt;7,,(GETPIVOTDATA("Jag känner att jag lyckas i skolan",pivot!$I$142,"År",2023,"Jag känner att jag lyckas i skolan",5))),)</f>
        <v>3.4090909090909088E-2</v>
      </c>
      <c r="M78" s="149">
        <v>3.4090909090909088E-2</v>
      </c>
      <c r="N78" s="8"/>
      <c r="O78" s="8"/>
      <c r="P78" s="8"/>
      <c r="Q78" s="8"/>
      <c r="R78" s="8"/>
      <c r="S78" s="8"/>
      <c r="T78" s="8"/>
      <c r="U78" s="8"/>
      <c r="V78" s="8"/>
    </row>
    <row r="79" spans="2:22" ht="14.5" x14ac:dyDescent="0.35">
      <c r="B79" s="32" t="s">
        <v>6</v>
      </c>
      <c r="C79" s="33"/>
      <c r="D79" s="33"/>
      <c r="E79" s="33"/>
      <c r="F79" s="33"/>
      <c r="G79" s="33"/>
      <c r="H79" s="33">
        <f>IFERROR(SUM(H74:H78),"-")</f>
        <v>0.99999999999999989</v>
      </c>
      <c r="I79" s="33">
        <f>IFERROR(SUM(I74:I78),"-")</f>
        <v>0.99999999999999989</v>
      </c>
      <c r="J79" s="79">
        <f>IFERROR(SUM(J74:J78),"-")</f>
        <v>1</v>
      </c>
      <c r="K79" s="79">
        <f>IFERROR(SUM(K74:K78),"-")</f>
        <v>1</v>
      </c>
      <c r="L79" s="34">
        <f>IFERROR(SUM(L74:L78),"-")</f>
        <v>0.99999999999999989</v>
      </c>
      <c r="M79" s="149">
        <v>0.99999999999999989</v>
      </c>
      <c r="N79" s="8"/>
      <c r="O79" s="8"/>
      <c r="P79" s="8"/>
      <c r="Q79" s="8"/>
      <c r="R79" s="8"/>
      <c r="S79" s="8"/>
      <c r="T79" s="8"/>
      <c r="U79" s="8"/>
      <c r="V79" s="8"/>
    </row>
    <row r="80" spans="2:22" ht="14.5" x14ac:dyDescent="0.35">
      <c r="B80" s="103" t="s">
        <v>7</v>
      </c>
      <c r="C80" s="104"/>
      <c r="D80" s="104"/>
      <c r="E80" s="104"/>
      <c r="F80" s="104"/>
      <c r="G80" s="104"/>
      <c r="H80" s="105">
        <f>IFERROR(IF(H$81&lt;7,,((GETPIVOTDATA("Jag känner att jag lyckas i skolan",pivot!$P$142,"År",2019)))),)</f>
        <v>3.5810810810810811</v>
      </c>
      <c r="I80" s="105">
        <f>IFERROR(IF(I$81&lt;7,,((GETPIVOTDATA("Jag känner att jag lyckas i skolan",pivot!$P$142,"År",2020)))),)</f>
        <v>3.558139534883721</v>
      </c>
      <c r="J80" s="163">
        <f>IFERROR(IF(J$81&lt;7,,((GETPIVOTDATA("Jag känner att jag lyckas i skolan",pivot!$P$142,"År",2021)))),)</f>
        <v>3.4659090909090908</v>
      </c>
      <c r="K80" s="165">
        <f>IFERROR(IF(K$81&lt;7,,((GETPIVOTDATA("Jag känner att jag lyckas i skolan",pivot!$P$142,"År",2022)))),)</f>
        <v>3.6129032258064515</v>
      </c>
      <c r="L80" s="148">
        <f>IFERROR(IF(L$81&lt;7,,((GETPIVOTDATA("Jag känner att jag lyckas i skolan",pivot!$P$142,"År",2023)))),)</f>
        <v>3.5411764705882351</v>
      </c>
      <c r="M80" s="104">
        <v>3.5411764705882351</v>
      </c>
      <c r="N80" s="8"/>
      <c r="O80" s="8"/>
      <c r="P80" s="8"/>
      <c r="Q80" s="8"/>
      <c r="R80" s="8"/>
      <c r="S80" s="8"/>
      <c r="T80" s="8"/>
      <c r="U80" s="8"/>
      <c r="V80" s="8"/>
    </row>
    <row r="81" spans="2:23" ht="14.5" x14ac:dyDescent="0.35">
      <c r="B81" s="32" t="s">
        <v>8</v>
      </c>
      <c r="C81" s="36"/>
      <c r="D81" s="36"/>
      <c r="E81" s="36"/>
      <c r="F81" s="36"/>
      <c r="G81" s="36"/>
      <c r="H81" s="36">
        <f>IFERROR(GETPIVOTDATA("Jag känner att jag lyckas i skolan",pivot!$A$142,"År",2019),)</f>
        <v>79</v>
      </c>
      <c r="I81" s="36">
        <f>IFERROR(GETPIVOTDATA("Jag känner att jag lyckas i skolan",pivot!$A$142,"År",2020),)</f>
        <v>96</v>
      </c>
      <c r="J81" s="92">
        <f>IFERROR(GETPIVOTDATA("Jag känner att jag lyckas i skolan",pivot!$A$142,"År",2021),)</f>
        <v>93</v>
      </c>
      <c r="K81" s="92">
        <f>IFERROR(GETPIVOTDATA("Jag känner att jag lyckas i skolan",pivot!$A$142,"År",2022),)</f>
        <v>96</v>
      </c>
      <c r="L81" s="39">
        <f>IFERROR(GETPIVOTDATA("Jag känner att jag lyckas i skolan",pivot!$A$142,"År",2023),)</f>
        <v>88</v>
      </c>
      <c r="M81" s="36">
        <v>88</v>
      </c>
      <c r="N81" s="8"/>
      <c r="O81" s="8"/>
      <c r="P81" s="8" t="s">
        <v>17</v>
      </c>
      <c r="Q81" s="8"/>
      <c r="R81" s="8"/>
      <c r="S81" s="8"/>
      <c r="T81" s="8"/>
      <c r="U81" s="8"/>
      <c r="V81" s="8"/>
    </row>
    <row r="82" spans="2:23" ht="14.5" x14ac:dyDescent="0.35">
      <c r="D82" s="18"/>
      <c r="E82" s="18"/>
      <c r="F82" s="18"/>
      <c r="G82" s="9"/>
      <c r="H82" s="18"/>
      <c r="J82" s="10"/>
      <c r="M82" s="9"/>
      <c r="N82" s="8"/>
      <c r="O82" s="8"/>
      <c r="P82" s="8"/>
      <c r="Q82" s="8"/>
      <c r="R82" s="8"/>
      <c r="S82" s="8"/>
      <c r="T82" s="8"/>
      <c r="U82" s="8"/>
      <c r="V82" s="8"/>
    </row>
    <row r="83" spans="2:23" ht="14.5" x14ac:dyDescent="0.35">
      <c r="D83" s="18"/>
      <c r="E83" s="18"/>
      <c r="F83" s="18"/>
      <c r="G83" s="9"/>
      <c r="H83" s="18"/>
      <c r="J83" s="10"/>
      <c r="M83" s="9"/>
      <c r="N83" s="8"/>
      <c r="O83" s="8"/>
      <c r="P83" s="8"/>
      <c r="Q83" s="8"/>
      <c r="R83" s="8"/>
      <c r="S83" s="8"/>
      <c r="T83" s="8"/>
      <c r="U83" s="8"/>
      <c r="V83" s="8"/>
    </row>
    <row r="84" spans="2:23" ht="15.5" x14ac:dyDescent="0.35">
      <c r="B84" s="124" t="s">
        <v>24</v>
      </c>
      <c r="C84" s="27"/>
      <c r="D84" s="18"/>
      <c r="E84" s="18"/>
      <c r="F84" s="18"/>
      <c r="G84" s="9"/>
      <c r="H84" s="18"/>
      <c r="J84" s="10"/>
      <c r="M84" s="9"/>
      <c r="N84" s="8"/>
      <c r="O84" s="8"/>
      <c r="P84" s="8"/>
      <c r="Q84" s="8"/>
      <c r="R84" s="8"/>
      <c r="S84" s="8"/>
      <c r="T84" s="8"/>
      <c r="U84" s="8"/>
      <c r="V84" s="8"/>
    </row>
    <row r="85" spans="2:23" ht="14.5" x14ac:dyDescent="0.35">
      <c r="B85" s="38"/>
      <c r="C85" s="38"/>
      <c r="D85" s="18"/>
      <c r="E85" s="18"/>
      <c r="F85" s="18"/>
      <c r="G85" s="9"/>
      <c r="I85" s="15"/>
      <c r="J85" s="15"/>
      <c r="K85" s="15"/>
      <c r="L85" s="108" t="str">
        <f>$G$7</f>
        <v>(Alla)</v>
      </c>
      <c r="M85" s="177" t="s">
        <v>6</v>
      </c>
      <c r="N85" s="8"/>
      <c r="O85" s="8"/>
      <c r="P85" s="8"/>
      <c r="Q85" s="8"/>
      <c r="R85" s="8"/>
      <c r="S85" s="8"/>
      <c r="T85" s="8"/>
      <c r="U85" s="8"/>
      <c r="V85" s="8"/>
    </row>
    <row r="86" spans="2:23" ht="14.5" x14ac:dyDescent="0.35">
      <c r="B86" s="29"/>
      <c r="C86" s="30"/>
      <c r="D86" s="30"/>
      <c r="E86" s="30"/>
      <c r="F86" s="30"/>
      <c r="G86" s="30"/>
      <c r="H86" s="30">
        <v>2019</v>
      </c>
      <c r="I86" s="30">
        <v>2020</v>
      </c>
      <c r="J86" s="93">
        <v>2021</v>
      </c>
      <c r="K86" s="93">
        <v>2022</v>
      </c>
      <c r="L86" s="31">
        <v>2023</v>
      </c>
      <c r="M86" s="30">
        <v>2023</v>
      </c>
      <c r="N86" s="40"/>
      <c r="O86" s="8"/>
      <c r="P86" s="8"/>
      <c r="Q86" s="8"/>
      <c r="R86" s="8"/>
      <c r="S86" s="8"/>
      <c r="T86" s="8"/>
      <c r="U86" s="8"/>
      <c r="V86" s="8"/>
      <c r="W86" s="8"/>
    </row>
    <row r="87" spans="2:23" ht="14.5" x14ac:dyDescent="0.35">
      <c r="B87" s="32" t="s">
        <v>46</v>
      </c>
      <c r="C87" s="33"/>
      <c r="D87" s="33"/>
      <c r="E87" s="33"/>
      <c r="F87" s="33"/>
      <c r="G87" s="33"/>
      <c r="H87" s="33">
        <f>IFERROR(IF(H$94&lt;7,,((GETPIVOTDATA("F7",pivot!$H$17,"År",2019,"F7",1)))),)</f>
        <v>0</v>
      </c>
      <c r="I87" s="33">
        <f>IFERROR(IF(I$94&lt;7,,((GETPIVOTDATA("F7",pivot!$H$17,"År",2020,"F7",1)))),)</f>
        <v>0</v>
      </c>
      <c r="J87" s="79">
        <f>IFERROR(IF(J$94&lt;7,,((GETPIVOTDATA("F7",pivot!$H$17,"År",2021,"F7",1)))),)</f>
        <v>1.0869565217391304E-2</v>
      </c>
      <c r="K87" s="79">
        <f>IFERROR(IF(K$94&lt;7,,((GETPIVOTDATA("F7",pivot!$H$17,"År",2022,"F7",1)))),)</f>
        <v>0</v>
      </c>
      <c r="L87" s="34">
        <f>IFERROR(IF(L$94&lt;7,,((GETPIVOTDATA("F7",pivot!$H$17,"År",2023,"F7",1)))),)</f>
        <v>2.2727272727272728E-2</v>
      </c>
      <c r="M87" s="149">
        <v>2.2727272727272728E-2</v>
      </c>
      <c r="N87" s="8"/>
      <c r="O87" s="8"/>
      <c r="P87" s="8"/>
      <c r="Q87" s="8"/>
      <c r="R87" s="8"/>
      <c r="S87" s="8"/>
      <c r="T87" s="8"/>
      <c r="U87" s="8"/>
      <c r="V87" s="8"/>
      <c r="W87" s="8"/>
    </row>
    <row r="88" spans="2:23" ht="14.5" x14ac:dyDescent="0.35">
      <c r="B88" s="35">
        <v>2</v>
      </c>
      <c r="C88" s="33"/>
      <c r="D88" s="33"/>
      <c r="E88" s="33"/>
      <c r="F88" s="33"/>
      <c r="G88" s="33"/>
      <c r="H88" s="33">
        <f>IFERROR(IF(H$94&lt;7,,((GETPIVOTDATA("F7",pivot!$H$17,"År",2019,"F7",2)))),)</f>
        <v>2.5316455696202531E-2</v>
      </c>
      <c r="I88" s="33">
        <f>IFERROR(IF(I$94&lt;7,,((GETPIVOTDATA("F7",pivot!$H$17,"År",2020,"F7",2)))),)</f>
        <v>5.1546391752577317E-2</v>
      </c>
      <c r="J88" s="79">
        <f>IFERROR(IF(J$94&lt;7,,((GETPIVOTDATA("F7",pivot!$H$17,"År",2021,"F7",2)))),)</f>
        <v>1.0869565217391304E-2</v>
      </c>
      <c r="K88" s="79">
        <f>IFERROR(IF(K$94&lt;7,,((GETPIVOTDATA("F7",pivot!$H$17,"År",2022,"F7",2)))),)</f>
        <v>3.1578947368421054E-2</v>
      </c>
      <c r="L88" s="34">
        <f>IFERROR(IF(L$94&lt;7,,((GETPIVOTDATA("F7",pivot!$H$17,"År",2023,"F7",2)))),)</f>
        <v>2.2727272727272728E-2</v>
      </c>
      <c r="M88" s="149">
        <v>2.2727272727272728E-2</v>
      </c>
      <c r="N88" s="8"/>
      <c r="O88" s="8"/>
      <c r="P88" s="8"/>
      <c r="Q88" s="8"/>
      <c r="R88" s="8"/>
      <c r="S88" s="8"/>
      <c r="T88" s="8"/>
      <c r="U88" s="8"/>
      <c r="V88" s="8"/>
      <c r="W88" s="8"/>
    </row>
    <row r="89" spans="2:23" ht="14.5" x14ac:dyDescent="0.35">
      <c r="B89" s="35">
        <v>3</v>
      </c>
      <c r="C89" s="33"/>
      <c r="D89" s="33"/>
      <c r="E89" s="33"/>
      <c r="F89" s="33"/>
      <c r="G89" s="33"/>
      <c r="H89" s="33">
        <f>IFERROR(IF(H$94&lt;7,,((GETPIVOTDATA("F7",pivot!$H$17,"År",2019,"F7",3)))),)</f>
        <v>0.16455696202531644</v>
      </c>
      <c r="I89" s="33">
        <f>IFERROR(IF(I$94&lt;7,,((GETPIVOTDATA("F7",pivot!$H$17,"År",2020,"F7",3)))),)</f>
        <v>0.16494845360824742</v>
      </c>
      <c r="J89" s="79">
        <f>IFERROR(IF(J$94&lt;7,,((GETPIVOTDATA("F7",pivot!$H$17,"År",2021,"F7",3)))),)</f>
        <v>0.18478260869565216</v>
      </c>
      <c r="K89" s="79">
        <f>IFERROR(IF(K$94&lt;7,,((GETPIVOTDATA("F7",pivot!$H$17,"År",2022,"F7",3)))),)</f>
        <v>0.11578947368421053</v>
      </c>
      <c r="L89" s="34">
        <f>IFERROR(IF(L$94&lt;7,,((GETPIVOTDATA("F7",pivot!$H$17,"År",2023,"F7",3)))),)</f>
        <v>0.20454545454545456</v>
      </c>
      <c r="M89" s="149">
        <v>0.20454545454545456</v>
      </c>
      <c r="N89" s="8"/>
      <c r="O89" s="8"/>
      <c r="P89" s="8"/>
      <c r="Q89" s="8"/>
      <c r="R89" s="8"/>
      <c r="S89" s="8"/>
      <c r="T89" s="8"/>
      <c r="U89" s="8"/>
      <c r="V89" s="8"/>
      <c r="W89" s="8"/>
    </row>
    <row r="90" spans="2:23" ht="14.5" x14ac:dyDescent="0.35">
      <c r="B90" s="35" t="s">
        <v>47</v>
      </c>
      <c r="C90" s="33"/>
      <c r="D90" s="33"/>
      <c r="E90" s="33"/>
      <c r="F90" s="33"/>
      <c r="G90" s="33"/>
      <c r="H90" s="33">
        <f>IFERROR(IF(H$94&lt;7,,((GETPIVOTDATA("F7",pivot!$H$17,"År",2019,"F7",4)))),)</f>
        <v>0.810126582278481</v>
      </c>
      <c r="I90" s="33">
        <f>IFERROR(IF(I$94&lt;7,,((GETPIVOTDATA("F7",pivot!$H$17,"År",2020,"F7",4)))),)</f>
        <v>0.76288659793814428</v>
      </c>
      <c r="J90" s="79">
        <f>IFERROR(IF(J$94&lt;7,,((GETPIVOTDATA("F7",pivot!$H$17,"År",2021,"F7",4)))),)</f>
        <v>0.75</v>
      </c>
      <c r="K90" s="79">
        <f>IFERROR(IF(K$94&lt;7,,((GETPIVOTDATA("F7",pivot!$H$17,"År",2022,"F7",4)))),)</f>
        <v>0.84210526315789469</v>
      </c>
      <c r="L90" s="34">
        <f>IFERROR(IF(L$94&lt;7,,((GETPIVOTDATA("F7",pivot!$H$17,"År",2023,"F7",4)))),)</f>
        <v>0.73863636363636365</v>
      </c>
      <c r="M90" s="149">
        <v>0.73863636363636365</v>
      </c>
      <c r="N90" s="8"/>
      <c r="O90" s="8"/>
      <c r="P90" s="8"/>
      <c r="Q90" s="8"/>
      <c r="R90" s="8"/>
      <c r="S90" s="8"/>
      <c r="T90" s="8"/>
      <c r="U90" s="8"/>
      <c r="V90" s="8"/>
      <c r="W90" s="8"/>
    </row>
    <row r="91" spans="2:23" ht="14.5" x14ac:dyDescent="0.35">
      <c r="B91" s="35" t="s">
        <v>2</v>
      </c>
      <c r="C91" s="33"/>
      <c r="D91" s="33"/>
      <c r="E91" s="33"/>
      <c r="F91" s="33"/>
      <c r="G91" s="33"/>
      <c r="H91" s="33">
        <f>IFERROR(IF(H$94&lt;7,,((GETPIVOTDATA("F7",pivot!$H$17,"År",2019,"F7",5)))),)</f>
        <v>0</v>
      </c>
      <c r="I91" s="33">
        <f>IFERROR(IF(I$94&lt;7,,((GETPIVOTDATA("F7",pivot!$H$17,"År",2020,"F7",5)))),)</f>
        <v>2.0618556701030927E-2</v>
      </c>
      <c r="J91" s="79">
        <f>IFERROR(IF(J$94&lt;7,,((GETPIVOTDATA("F7",pivot!$H$17,"År",2021,"F7",5)))),)</f>
        <v>4.3478260869565216E-2</v>
      </c>
      <c r="K91" s="79">
        <f>IFERROR(IF(K$94&lt;7,,((GETPIVOTDATA("F7",pivot!$H$17,"År",2022,"F7",5)))),)</f>
        <v>1.0526315789473684E-2</v>
      </c>
      <c r="L91" s="34">
        <f>IFERROR(IF(L$94&lt;7,,((GETPIVOTDATA("F7",pivot!$H$17,"År",2023,"F7",5)))),)</f>
        <v>1.1363636363636364E-2</v>
      </c>
      <c r="M91" s="149">
        <v>1.1363636363636364E-2</v>
      </c>
      <c r="N91" s="8"/>
      <c r="O91" s="8"/>
      <c r="P91" s="8"/>
      <c r="Q91" s="8"/>
      <c r="R91" s="8"/>
      <c r="S91" s="8"/>
      <c r="T91" s="8"/>
      <c r="U91" s="8"/>
      <c r="V91" s="8"/>
      <c r="W91" s="8"/>
    </row>
    <row r="92" spans="2:23" ht="14.5" x14ac:dyDescent="0.35">
      <c r="B92" s="32" t="s">
        <v>6</v>
      </c>
      <c r="C92" s="33"/>
      <c r="D92" s="33"/>
      <c r="E92" s="33"/>
      <c r="F92" s="33"/>
      <c r="G92" s="33"/>
      <c r="H92" s="33">
        <f t="shared" ref="H92:L92" si="0">IFERROR(SUM(H87:H91),"-")</f>
        <v>1</v>
      </c>
      <c r="I92" s="33">
        <f t="shared" si="0"/>
        <v>1</v>
      </c>
      <c r="J92" s="79">
        <f t="shared" si="0"/>
        <v>1</v>
      </c>
      <c r="K92" s="79">
        <f t="shared" si="0"/>
        <v>1</v>
      </c>
      <c r="L92" s="34">
        <f t="shared" si="0"/>
        <v>1</v>
      </c>
      <c r="M92" s="149">
        <v>1</v>
      </c>
      <c r="N92" s="8"/>
      <c r="O92" s="8"/>
      <c r="P92" s="8"/>
      <c r="Q92" s="8"/>
      <c r="R92" s="8"/>
      <c r="S92" s="8"/>
      <c r="T92" s="8"/>
      <c r="U92" s="8"/>
      <c r="V92" s="8"/>
      <c r="W92" s="8"/>
    </row>
    <row r="93" spans="2:23" ht="14.5" x14ac:dyDescent="0.35">
      <c r="B93" s="103" t="s">
        <v>7</v>
      </c>
      <c r="C93" s="104"/>
      <c r="D93" s="104"/>
      <c r="E93" s="104"/>
      <c r="F93" s="104"/>
      <c r="G93" s="104"/>
      <c r="H93" s="105">
        <f>IFERROR(IF(H$94&lt;7,,((GETPIVOTDATA("F7",pivot!$O$17,"År",2019)))),)</f>
        <v>3.7848101265822787</v>
      </c>
      <c r="I93" s="105">
        <f>IFERROR(IF(I$94&lt;7,,((GETPIVOTDATA("F7",pivot!$O$17,"År",2020)))),)</f>
        <v>3.7263157894736842</v>
      </c>
      <c r="J93" s="163">
        <f>IFERROR(IF(J$94&lt;7,,((GETPIVOTDATA("F7",pivot!$O$17,"År",2021)))),)</f>
        <v>3.75</v>
      </c>
      <c r="K93" s="165">
        <f>IFERROR(IF(K$94&lt;7,,((GETPIVOTDATA("F7",pivot!$O$17,"År",2022)))),)</f>
        <v>3.8191489361702127</v>
      </c>
      <c r="L93" s="148">
        <f>IFERROR(IF(L$94&lt;7,,((GETPIVOTDATA("F7",pivot!$O$17,"År",2023)))),)</f>
        <v>3.6781609195402298</v>
      </c>
      <c r="M93" s="104">
        <v>3.6781609195402298</v>
      </c>
      <c r="N93" s="8"/>
      <c r="O93" s="8"/>
      <c r="P93" s="8"/>
      <c r="Q93" s="8"/>
      <c r="R93" s="8"/>
      <c r="S93" s="8"/>
      <c r="T93" s="8"/>
      <c r="U93" s="8"/>
      <c r="V93" s="8"/>
      <c r="W93" s="8"/>
    </row>
    <row r="94" spans="2:23" ht="14.5" x14ac:dyDescent="0.35">
      <c r="B94" s="32" t="s">
        <v>8</v>
      </c>
      <c r="C94" s="36"/>
      <c r="D94" s="36"/>
      <c r="E94" s="36"/>
      <c r="F94" s="36"/>
      <c r="G94" s="36"/>
      <c r="H94" s="36">
        <f>IFERROR(GETPIVOTDATA("F7",pivot!$A$17,"År",2019),)</f>
        <v>79</v>
      </c>
      <c r="I94" s="36">
        <f>IFERROR(GETPIVOTDATA("F7",pivot!$A$17,"År",2020),)</f>
        <v>97</v>
      </c>
      <c r="J94" s="92">
        <f>IFERROR(GETPIVOTDATA("F7",pivot!$A$17,"År",2021),)</f>
        <v>92</v>
      </c>
      <c r="K94" s="92">
        <f>IFERROR(GETPIVOTDATA("F7",pivot!$A$17,"År",2022),)</f>
        <v>95</v>
      </c>
      <c r="L94" s="39">
        <f>IFERROR(GETPIVOTDATA("F7",pivot!$A$17,"År",2023),)</f>
        <v>88</v>
      </c>
      <c r="M94" s="36">
        <v>88</v>
      </c>
      <c r="N94" s="8"/>
      <c r="O94" s="8"/>
      <c r="P94" s="8"/>
      <c r="Q94" s="8"/>
      <c r="R94" s="8"/>
      <c r="S94" s="8"/>
      <c r="T94" s="8"/>
      <c r="U94" s="8"/>
      <c r="V94" s="8"/>
      <c r="W94" s="8"/>
    </row>
    <row r="95" spans="2:23" ht="14.5" x14ac:dyDescent="0.35">
      <c r="D95" s="9"/>
      <c r="E95" s="9"/>
      <c r="F95" s="18"/>
      <c r="G95" s="9"/>
      <c r="H95" s="18"/>
      <c r="J95" s="10"/>
      <c r="M95" s="9"/>
      <c r="N95" s="8"/>
      <c r="O95" s="8"/>
      <c r="P95" s="8"/>
      <c r="Q95" s="8"/>
      <c r="R95" s="8"/>
      <c r="S95" s="8"/>
      <c r="T95" s="8"/>
      <c r="U95" s="8"/>
      <c r="V95" s="8"/>
    </row>
    <row r="96" spans="2:23" ht="14.5" x14ac:dyDescent="0.35">
      <c r="D96" s="9"/>
      <c r="E96" s="9"/>
      <c r="F96" s="18"/>
      <c r="G96" s="9"/>
      <c r="H96" s="18"/>
      <c r="J96" s="10"/>
      <c r="M96" s="9"/>
      <c r="N96" s="8"/>
      <c r="O96" s="8"/>
      <c r="P96" s="8"/>
      <c r="Q96" s="8"/>
      <c r="R96" s="8"/>
      <c r="S96" s="8"/>
      <c r="T96" s="8"/>
      <c r="U96" s="8"/>
      <c r="V96" s="8"/>
    </row>
    <row r="97" spans="2:23" ht="15.5" x14ac:dyDescent="0.35">
      <c r="B97" s="124" t="s">
        <v>57</v>
      </c>
      <c r="C97" s="27"/>
      <c r="D97" s="18"/>
      <c r="E97" s="18"/>
      <c r="F97" s="18"/>
      <c r="G97" s="9"/>
      <c r="H97" s="18"/>
      <c r="J97" s="10"/>
      <c r="M97" s="9"/>
      <c r="N97" s="8"/>
      <c r="O97" s="8"/>
      <c r="P97" s="8"/>
      <c r="Q97" s="8"/>
      <c r="R97" s="8"/>
      <c r="S97" s="8"/>
      <c r="T97" s="8"/>
      <c r="U97" s="8"/>
      <c r="V97" s="8"/>
    </row>
    <row r="98" spans="2:23" ht="14.5" x14ac:dyDescent="0.35">
      <c r="B98" s="38"/>
      <c r="C98" s="38"/>
      <c r="D98" s="18"/>
      <c r="E98" s="18"/>
      <c r="F98" s="18"/>
      <c r="G98" s="9"/>
      <c r="I98" s="15"/>
      <c r="J98" s="15"/>
      <c r="K98" s="15"/>
      <c r="L98" s="108" t="str">
        <f>$G$7</f>
        <v>(Alla)</v>
      </c>
      <c r="M98" s="177" t="s">
        <v>6</v>
      </c>
      <c r="N98" s="8"/>
      <c r="O98" s="8"/>
      <c r="P98" s="8"/>
      <c r="Q98" s="8"/>
      <c r="R98" s="8"/>
      <c r="S98" s="8"/>
      <c r="T98" s="8"/>
      <c r="U98" s="8"/>
      <c r="V98" s="8"/>
    </row>
    <row r="99" spans="2:23" ht="14.5" x14ac:dyDescent="0.35">
      <c r="B99" s="29"/>
      <c r="C99" s="30"/>
      <c r="D99" s="30"/>
      <c r="E99" s="30"/>
      <c r="F99" s="30"/>
      <c r="G99" s="30"/>
      <c r="H99" s="30">
        <v>2019</v>
      </c>
      <c r="I99" s="30">
        <v>2020</v>
      </c>
      <c r="J99" s="93">
        <v>2021</v>
      </c>
      <c r="K99" s="93">
        <v>2022</v>
      </c>
      <c r="L99" s="31">
        <v>2023</v>
      </c>
      <c r="M99" s="30">
        <v>2023</v>
      </c>
      <c r="N99" s="8"/>
      <c r="O99" s="8"/>
      <c r="P99" s="8"/>
      <c r="Q99" s="8"/>
      <c r="R99" s="8"/>
      <c r="S99" s="8"/>
      <c r="T99" s="8"/>
      <c r="U99" s="8"/>
      <c r="V99" s="8"/>
    </row>
    <row r="100" spans="2:23" ht="14.5" x14ac:dyDescent="0.35">
      <c r="B100" s="32" t="s">
        <v>46</v>
      </c>
      <c r="C100" s="33"/>
      <c r="D100" s="33"/>
      <c r="E100" s="33"/>
      <c r="F100" s="33"/>
      <c r="G100" s="33"/>
      <c r="H100" s="33">
        <f>IFERROR(IF(H$107&lt;7,,((GETPIVOTDATA("Jag får lära mig på olika sätt exempelvis läsa, lyssna, se film, skriva",pivot!$I$153,"År",2019,"Jag får lära mig på olika sätt exempelvis läsa, lyssna, se film, skriva",1)))),)</f>
        <v>2.5974025974025976E-2</v>
      </c>
      <c r="I100" s="33">
        <f>IFERROR(IF(I$107&lt;7,,((GETPIVOTDATA("Jag får lära mig på olika sätt exempelvis läsa, lyssna, se film, skriva",pivot!$I$153,"År",2020,"Jag får lära mig på olika sätt exempelvis läsa, lyssna, se film, skriva",1)))),)</f>
        <v>0</v>
      </c>
      <c r="J100" s="79">
        <f>IFERROR(IF(J$107&lt;7,,((GETPIVOTDATA("Jag får lära mig på olika sätt exempelvis läsa, lyssna, se film, skriva",pivot!$I$153,"År",2021,"Jag får lära mig på olika sätt exempelvis läsa, lyssna, se film, skriva",1)))),)</f>
        <v>1.0752688172043012E-2</v>
      </c>
      <c r="K100" s="79">
        <f>IFERROR(IF(K$107&lt;7,,((GETPIVOTDATA("Jag får lära mig på olika sätt exempelvis läsa, lyssna, se film, skriva",pivot!$I$153,"År",2022,"Jag får lära mig på olika sätt exempelvis läsa, lyssna, se film, skriva",1)))),)</f>
        <v>0</v>
      </c>
      <c r="L100" s="34">
        <f>IFERROR(IF(L$107&lt;7,,((GETPIVOTDATA("Jag får lära mig på olika sätt exempelvis läsa, lyssna, se film, skriva",pivot!$I$153,"År",2023,"Jag får lära mig på olika sätt exempelvis läsa, lyssna, se film, skriva",1)))),)</f>
        <v>2.247191011235955E-2</v>
      </c>
      <c r="M100" s="149">
        <v>2.247191011235955E-2</v>
      </c>
      <c r="N100" s="8"/>
      <c r="O100" s="8"/>
      <c r="P100" s="8"/>
      <c r="Q100" s="8"/>
      <c r="R100" s="8"/>
      <c r="S100" s="8"/>
      <c r="T100" s="8"/>
      <c r="U100" s="8"/>
      <c r="V100" s="8"/>
    </row>
    <row r="101" spans="2:23" ht="14.5" x14ac:dyDescent="0.35">
      <c r="B101" s="35">
        <v>2</v>
      </c>
      <c r="C101" s="33"/>
      <c r="D101" s="33"/>
      <c r="E101" s="33"/>
      <c r="F101" s="33"/>
      <c r="G101" s="33"/>
      <c r="H101" s="33">
        <f>IFERROR(IF(H$107&lt;7,,((GETPIVOTDATA("Jag får lära mig på olika sätt exempelvis läsa, lyssna, se film, skriva",pivot!$I$153,"År",2019,"Jag får lära mig på olika sätt exempelvis läsa, lyssna, se film, skriva",2)))),)</f>
        <v>2.5974025974025976E-2</v>
      </c>
      <c r="I101" s="33">
        <f>IFERROR(IF(I$107&lt;7,,((GETPIVOTDATA("Jag får lära mig på olika sätt exempelvis läsa, lyssna, se film, skriva",pivot!$I$153,"År",2020,"Jag får lära mig på olika sätt exempelvis läsa, lyssna, se film, skriva",2)))),)</f>
        <v>2.0833333333333332E-2</v>
      </c>
      <c r="J101" s="79">
        <f>IFERROR(IF(J$107&lt;7,,((GETPIVOTDATA("Jag får lära mig på olika sätt exempelvis läsa, lyssna, se film, skriva",pivot!$I$153,"År",2021,"Jag får lära mig på olika sätt exempelvis läsa, lyssna, se film, skriva",2)))),)</f>
        <v>1.0752688172043012E-2</v>
      </c>
      <c r="K101" s="79">
        <f>IFERROR(IF(K$107&lt;7,,((GETPIVOTDATA("Jag får lära mig på olika sätt exempelvis läsa, lyssna, se film, skriva",pivot!$I$153,"År",2022,"Jag får lära mig på olika sätt exempelvis läsa, lyssna, se film, skriva",2)))),)</f>
        <v>2.0618556701030927E-2</v>
      </c>
      <c r="L101" s="34">
        <f>IFERROR(IF(L$107&lt;7,,((GETPIVOTDATA("Jag får lära mig på olika sätt exempelvis läsa, lyssna, se film, skriva",pivot!$I$153,"År",2023,"Jag får lära mig på olika sätt exempelvis läsa, lyssna, se film, skriva",2)))),)</f>
        <v>1.1235955056179775E-2</v>
      </c>
      <c r="M101" s="149">
        <v>1.1235955056179775E-2</v>
      </c>
      <c r="N101" s="8"/>
      <c r="O101" s="8"/>
      <c r="P101" s="8"/>
      <c r="Q101" s="8"/>
      <c r="R101" s="8"/>
      <c r="S101" s="8"/>
      <c r="T101" s="8"/>
      <c r="U101" s="8"/>
      <c r="V101" s="8"/>
    </row>
    <row r="102" spans="2:23" ht="14.5" x14ac:dyDescent="0.35">
      <c r="B102" s="35">
        <v>3</v>
      </c>
      <c r="C102" s="33"/>
      <c r="D102" s="33"/>
      <c r="E102" s="33"/>
      <c r="F102" s="33"/>
      <c r="G102" s="33"/>
      <c r="H102" s="33">
        <f>IFERROR(IF(H$107&lt;7,,((GETPIVOTDATA("Jag får lära mig på olika sätt exempelvis läsa, lyssna, se film, skriva",pivot!$I$153,"År",2019,"Jag får lära mig på olika sätt exempelvis läsa, lyssna, se film, skriva",3)))),)</f>
        <v>0.29870129870129869</v>
      </c>
      <c r="I102" s="33">
        <f>IFERROR(IF(I$107&lt;7,,((GETPIVOTDATA("Jag får lära mig på olika sätt exempelvis läsa, lyssna, se film, skriva",pivot!$I$153,"År",2020,"Jag får lära mig på olika sätt exempelvis läsa, lyssna, se film, skriva",3)))),)</f>
        <v>0.28125</v>
      </c>
      <c r="J102" s="79">
        <f>IFERROR(IF(J$107&lt;7,,((GETPIVOTDATA("Jag får lära mig på olika sätt exempelvis läsa, lyssna, se film, skriva",pivot!$I$153,"År",2021,"Jag får lära mig på olika sätt exempelvis läsa, lyssna, se film, skriva",3)))),)</f>
        <v>0.32258064516129031</v>
      </c>
      <c r="K102" s="79">
        <f>IFERROR(IF(K$107&lt;7,,((GETPIVOTDATA("Jag får lära mig på olika sätt exempelvis läsa, lyssna, se film, skriva",pivot!$I$153,"År",2022,"Jag får lära mig på olika sätt exempelvis läsa, lyssna, se film, skriva",3)))),)</f>
        <v>0.16494845360824742</v>
      </c>
      <c r="L102" s="34">
        <f>IFERROR(IF(L$107&lt;7,,((GETPIVOTDATA("Jag får lära mig på olika sätt exempelvis läsa, lyssna, se film, skriva",pivot!$I$153,"År",2023,"Jag får lära mig på olika sätt exempelvis läsa, lyssna, se film, skriva",3)))),)</f>
        <v>0.23595505617977527</v>
      </c>
      <c r="M102" s="149">
        <v>0.23595505617977527</v>
      </c>
      <c r="N102" s="8"/>
      <c r="O102" s="8"/>
      <c r="P102" s="8"/>
      <c r="Q102" s="8"/>
      <c r="R102" s="8"/>
      <c r="S102" s="8"/>
      <c r="T102" s="8"/>
      <c r="U102" s="8"/>
      <c r="V102" s="8"/>
    </row>
    <row r="103" spans="2:23" ht="14.5" x14ac:dyDescent="0.35">
      <c r="B103" s="35" t="s">
        <v>47</v>
      </c>
      <c r="C103" s="33"/>
      <c r="D103" s="33"/>
      <c r="E103" s="33"/>
      <c r="F103" s="33"/>
      <c r="G103" s="33"/>
      <c r="H103" s="33">
        <f>IFERROR(IF(H$107&lt;7,,((GETPIVOTDATA("Jag får lära mig på olika sätt exempelvis läsa, lyssna, se film, skriva",pivot!$I$153,"År",2019,"Jag får lära mig på olika sätt exempelvis läsa, lyssna, se film, skriva",4)))),)</f>
        <v>0.59740259740259738</v>
      </c>
      <c r="I103" s="33">
        <f>IFERROR(IF(I$107&lt;7,,((GETPIVOTDATA("Jag får lära mig på olika sätt exempelvis läsa, lyssna, se film, skriva",pivot!$I$153,"År",2020,"Jag får lära mig på olika sätt exempelvis läsa, lyssna, se film, skriva",4)))),)</f>
        <v>0.625</v>
      </c>
      <c r="J103" s="79">
        <f>IFERROR(IF(J$107&lt;7,,((GETPIVOTDATA("Jag får lära mig på olika sätt exempelvis läsa, lyssna, se film, skriva",pivot!$I$153,"År",2021,"Jag får lära mig på olika sätt exempelvis läsa, lyssna, se film, skriva",4)))),)</f>
        <v>0.60215053763440862</v>
      </c>
      <c r="K103" s="79">
        <f>IFERROR(IF(K$107&lt;7,,((GETPIVOTDATA("Jag får lära mig på olika sätt exempelvis läsa, lyssna, se film, skriva",pivot!$I$153,"År",2022,"Jag får lära mig på olika sätt exempelvis läsa, lyssna, se film, skriva",4)))),)</f>
        <v>0.80412371134020622</v>
      </c>
      <c r="L103" s="34">
        <f>IFERROR(IF(L$107&lt;7,,((GETPIVOTDATA("Jag får lära mig på olika sätt exempelvis läsa, lyssna, se film, skriva",pivot!$I$153,"År",2023,"Jag får lära mig på olika sätt exempelvis läsa, lyssna, se film, skriva",4)))),)</f>
        <v>0.6966292134831461</v>
      </c>
      <c r="M103" s="149">
        <v>0.6966292134831461</v>
      </c>
      <c r="N103" s="8"/>
      <c r="O103" s="8"/>
      <c r="P103" s="8"/>
      <c r="Q103" s="8"/>
      <c r="R103" s="8"/>
      <c r="S103" s="8"/>
      <c r="T103" s="8"/>
      <c r="U103" s="8"/>
      <c r="V103" s="8"/>
    </row>
    <row r="104" spans="2:23" ht="14.5" x14ac:dyDescent="0.35">
      <c r="B104" s="35" t="s">
        <v>2</v>
      </c>
      <c r="C104" s="33"/>
      <c r="D104" s="33"/>
      <c r="E104" s="33"/>
      <c r="F104" s="33"/>
      <c r="G104" s="33"/>
      <c r="H104" s="33">
        <f>IFERROR(IF(H$107&lt;7,,((GETPIVOTDATA("Jag får lära mig på olika sätt exempelvis läsa, lyssna, se film, skriva",pivot!$I$153,"År",2019,"Jag får lära mig på olika sätt exempelvis läsa, lyssna, se film, skriva",5)))),)</f>
        <v>5.1948051948051951E-2</v>
      </c>
      <c r="I104" s="33">
        <f>IFERROR(IF(I$107&lt;7,,((GETPIVOTDATA("Jag får lära mig på olika sätt exempelvis läsa, lyssna, se film, skriva",pivot!$I$153,"År",2020,"Jag får lära mig på olika sätt exempelvis läsa, lyssna, se film, skriva",5)))),)</f>
        <v>7.2916666666666671E-2</v>
      </c>
      <c r="J104" s="79">
        <f>IFERROR(IF(J$107&lt;7,,((GETPIVOTDATA("Jag får lära mig på olika sätt exempelvis läsa, lyssna, se film, skriva",pivot!$I$153,"År",2021,"Jag får lära mig på olika sätt exempelvis läsa, lyssna, se film, skriva",5)))),)</f>
        <v>5.3763440860215055E-2</v>
      </c>
      <c r="K104" s="79">
        <f>IFERROR(IF(K$107&lt;7,,((GETPIVOTDATA("Jag får lära mig på olika sätt exempelvis läsa, lyssna, se film, skriva",pivot!$I$153,"År",2022,"Jag får lära mig på olika sätt exempelvis läsa, lyssna, se film, skriva",5)))),)</f>
        <v>1.0309278350515464E-2</v>
      </c>
      <c r="L104" s="34">
        <f>IFERROR(IF(L$107&lt;7,,((GETPIVOTDATA("Jag får lära mig på olika sätt exempelvis läsa, lyssna, se film, skriva",pivot!$I$153,"År",2023,"Jag får lära mig på olika sätt exempelvis läsa, lyssna, se film, skriva",5)))),)</f>
        <v>3.3707865168539325E-2</v>
      </c>
      <c r="M104" s="149">
        <v>3.3707865168539325E-2</v>
      </c>
      <c r="N104" s="8"/>
      <c r="O104" s="8"/>
      <c r="P104" s="8"/>
      <c r="Q104" s="8"/>
      <c r="R104" s="8"/>
      <c r="S104" s="8"/>
      <c r="T104" s="8"/>
      <c r="U104" s="8"/>
      <c r="V104" s="8"/>
    </row>
    <row r="105" spans="2:23" ht="14.5" x14ac:dyDescent="0.35">
      <c r="B105" s="32" t="s">
        <v>6</v>
      </c>
      <c r="C105" s="33"/>
      <c r="D105" s="33"/>
      <c r="E105" s="33"/>
      <c r="F105" s="33"/>
      <c r="G105" s="33"/>
      <c r="H105" s="33">
        <f>IFERROR(SUM(H100:H104),"-")</f>
        <v>1</v>
      </c>
      <c r="I105" s="33">
        <f>IFERROR(SUM(I100:I104),"-")</f>
        <v>0.99999999999999989</v>
      </c>
      <c r="J105" s="79">
        <f>IFERROR(SUM(J100:J104),"-")</f>
        <v>1</v>
      </c>
      <c r="K105" s="79">
        <f>IFERROR(SUM(K100:K104),"-")</f>
        <v>1</v>
      </c>
      <c r="L105" s="34">
        <f>IFERROR(SUM(L100:L104),"-")</f>
        <v>1</v>
      </c>
      <c r="M105" s="149">
        <v>1</v>
      </c>
      <c r="N105" s="8"/>
      <c r="O105" s="8"/>
      <c r="P105" s="8"/>
      <c r="Q105" s="8"/>
      <c r="R105" s="8"/>
      <c r="S105" s="8"/>
      <c r="T105" s="8"/>
      <c r="U105" s="8"/>
      <c r="V105" s="8"/>
    </row>
    <row r="106" spans="2:23" ht="14.5" x14ac:dyDescent="0.35">
      <c r="B106" s="103" t="s">
        <v>7</v>
      </c>
      <c r="C106" s="104"/>
      <c r="D106" s="104"/>
      <c r="E106" s="104"/>
      <c r="F106" s="104"/>
      <c r="G106" s="104"/>
      <c r="H106" s="105">
        <f>IFERROR(IF(H$107&lt;7,,((GETPIVOTDATA("Jag får lära mig på olika sätt exempelvis läsa, lyssna, se film, skriva",pivot!$P$153,"År",2019)))),)</f>
        <v>3.547945205479452</v>
      </c>
      <c r="I106" s="105">
        <f>IFERROR(IF(I$107&lt;7,,((GETPIVOTDATA("Jag får lära mig på olika sätt exempelvis läsa, lyssna, se film, skriva",pivot!$P$153,"År",2020)))),)</f>
        <v>3.6516853932584268</v>
      </c>
      <c r="J106" s="163">
        <f>IFERROR(IF(J$107&lt;7,,((GETPIVOTDATA("Jag får lära mig på olika sätt exempelvis läsa, lyssna, se film, skriva",pivot!$P$153,"År",2021)))),)</f>
        <v>3.6022727272727271</v>
      </c>
      <c r="K106" s="165">
        <f>IFERROR(IF(K$107&lt;7,,((GETPIVOTDATA("Jag får lära mig på olika sätt exempelvis läsa, lyssna, se film, skriva",pivot!$P$153,"År",2022)))),)</f>
        <v>3.7916666666666665</v>
      </c>
      <c r="L106" s="148">
        <f>IFERROR(IF(L$107&lt;7,,((GETPIVOTDATA("Jag får lära mig på olika sätt exempelvis läsa, lyssna, se film, skriva",pivot!$P$153,"År",2023)))),)</f>
        <v>3.6627906976744184</v>
      </c>
      <c r="M106" s="104">
        <v>3.6627906976744184</v>
      </c>
      <c r="N106" s="8"/>
      <c r="O106" s="8"/>
      <c r="P106" s="8"/>
      <c r="Q106" s="8"/>
      <c r="R106" s="8"/>
      <c r="S106" s="8"/>
      <c r="T106" s="8"/>
      <c r="U106" s="8"/>
      <c r="V106" s="8"/>
    </row>
    <row r="107" spans="2:23" ht="14.5" x14ac:dyDescent="0.35">
      <c r="B107" s="32" t="s">
        <v>8</v>
      </c>
      <c r="C107" s="36"/>
      <c r="D107" s="36"/>
      <c r="E107" s="36"/>
      <c r="F107" s="36"/>
      <c r="G107" s="36"/>
      <c r="H107" s="36">
        <f>IFERROR(GETPIVOTDATA("Jag får lära mig på olika sätt exempelvis läsa, lyssna, se film, skriva",pivot!$A$153,"År",2019),)</f>
        <v>77</v>
      </c>
      <c r="I107" s="36">
        <f>IFERROR(GETPIVOTDATA("Jag får lära mig på olika sätt exempelvis läsa, lyssna, se film, skriva",pivot!$A$153,"År",2020),)</f>
        <v>96</v>
      </c>
      <c r="J107" s="92">
        <f>IFERROR(GETPIVOTDATA("Jag får lära mig på olika sätt exempelvis läsa, lyssna, se film, skriva",pivot!$A$153,"År",2021),)</f>
        <v>93</v>
      </c>
      <c r="K107" s="92">
        <f>IFERROR(GETPIVOTDATA("Jag får lära mig på olika sätt exempelvis läsa, lyssna, se film, skriva",pivot!$A$153,"År",2022),)</f>
        <v>97</v>
      </c>
      <c r="L107" s="39">
        <f>IFERROR(GETPIVOTDATA("Jag får lära mig på olika sätt exempelvis läsa, lyssna, se film, skriva",pivot!$A$153,"År",2023),)</f>
        <v>89</v>
      </c>
      <c r="M107" s="36">
        <v>89</v>
      </c>
      <c r="N107" s="8"/>
      <c r="O107" s="8"/>
      <c r="P107" s="8"/>
      <c r="Q107" s="8"/>
      <c r="R107" s="8"/>
      <c r="S107" s="8"/>
      <c r="T107" s="8"/>
      <c r="U107" s="8"/>
      <c r="V107" s="8"/>
    </row>
    <row r="108" spans="2:23" ht="14.5" x14ac:dyDescent="0.35">
      <c r="D108" s="18"/>
      <c r="E108" s="18"/>
      <c r="F108" s="18"/>
      <c r="G108" s="9"/>
      <c r="H108" s="18"/>
      <c r="J108" s="10"/>
      <c r="M108" s="9"/>
      <c r="N108" s="8"/>
      <c r="O108" s="8"/>
      <c r="P108" s="8"/>
      <c r="Q108" s="8"/>
      <c r="R108" s="8"/>
      <c r="S108" s="8"/>
      <c r="T108" s="8"/>
      <c r="U108" s="8"/>
      <c r="V108" s="8"/>
    </row>
    <row r="109" spans="2:23" ht="14.5" x14ac:dyDescent="0.35">
      <c r="D109" s="18"/>
      <c r="E109" s="18"/>
      <c r="F109" s="18"/>
      <c r="G109" s="9"/>
      <c r="H109" s="18"/>
      <c r="J109" s="10"/>
      <c r="M109" s="9"/>
      <c r="N109" s="8"/>
      <c r="O109" s="8"/>
      <c r="P109" s="8"/>
      <c r="Q109" s="8"/>
      <c r="R109" s="8"/>
      <c r="S109" s="8"/>
      <c r="T109" s="8"/>
      <c r="U109" s="8"/>
    </row>
    <row r="110" spans="2:23" ht="15.5" x14ac:dyDescent="0.35">
      <c r="B110" s="124" t="s">
        <v>25</v>
      </c>
      <c r="C110" s="27"/>
      <c r="D110" s="18"/>
      <c r="E110" s="18"/>
      <c r="F110" s="18"/>
      <c r="G110" s="9"/>
      <c r="H110" s="18"/>
      <c r="J110" s="10"/>
      <c r="M110" s="9"/>
      <c r="N110" s="8"/>
      <c r="O110" s="8"/>
      <c r="P110" s="8"/>
      <c r="Q110" s="8"/>
      <c r="R110" s="8"/>
      <c r="S110" s="8"/>
      <c r="T110" s="8"/>
      <c r="U110" s="8"/>
    </row>
    <row r="111" spans="2:23" ht="14.5" x14ac:dyDescent="0.35">
      <c r="B111" s="38"/>
      <c r="C111" s="38"/>
      <c r="D111" s="18"/>
      <c r="E111" s="18"/>
      <c r="F111" s="18"/>
      <c r="G111" s="18"/>
      <c r="I111" s="151"/>
      <c r="J111" s="151"/>
      <c r="K111" s="151"/>
      <c r="L111" s="150" t="str">
        <f>$G$7</f>
        <v>(Alla)</v>
      </c>
      <c r="M111" s="177" t="s">
        <v>6</v>
      </c>
      <c r="N111" s="8"/>
      <c r="O111" s="8"/>
      <c r="P111" s="8"/>
      <c r="Q111" s="8"/>
      <c r="R111" s="8"/>
      <c r="S111" s="8"/>
      <c r="T111" s="8"/>
      <c r="U111" s="8"/>
      <c r="V111" s="8"/>
    </row>
    <row r="112" spans="2:23" ht="14.5" x14ac:dyDescent="0.35">
      <c r="B112" s="29"/>
      <c r="C112" s="30"/>
      <c r="D112" s="30"/>
      <c r="E112" s="30"/>
      <c r="F112" s="30"/>
      <c r="G112" s="30"/>
      <c r="H112" s="30">
        <v>2019</v>
      </c>
      <c r="I112" s="30">
        <v>2020</v>
      </c>
      <c r="J112" s="30">
        <v>2021</v>
      </c>
      <c r="K112" s="93">
        <v>2022</v>
      </c>
      <c r="L112" s="31">
        <v>2023</v>
      </c>
      <c r="M112" s="30">
        <v>2023</v>
      </c>
      <c r="N112" s="40"/>
      <c r="O112" s="41"/>
      <c r="P112" s="8"/>
      <c r="Q112" s="8"/>
      <c r="R112" s="8"/>
      <c r="S112" s="8"/>
      <c r="T112" s="8"/>
      <c r="U112" s="8"/>
      <c r="V112" s="8"/>
      <c r="W112" s="8"/>
    </row>
    <row r="113" spans="2:23" ht="14.5" x14ac:dyDescent="0.35">
      <c r="B113" s="32" t="s">
        <v>46</v>
      </c>
      <c r="C113" s="33"/>
      <c r="D113" s="33"/>
      <c r="E113" s="33"/>
      <c r="F113" s="33"/>
      <c r="G113" s="33"/>
      <c r="H113" s="33">
        <f>IFERROR(IF(H$120&lt;7,,((GETPIVOTDATA("F9",pivot!$H$32,"År",2019,"F9",1)))),)</f>
        <v>2.5974025974025976E-2</v>
      </c>
      <c r="I113" s="33">
        <f>IFERROR(IF(I$120&lt;7,,((GETPIVOTDATA("F9",pivot!$H$32,"År",2020,"F9",1)))),)</f>
        <v>6.1855670103092786E-2</v>
      </c>
      <c r="J113" s="33">
        <f>IFERROR(IF(J$120&lt;7,,((GETPIVOTDATA("F9",pivot!$H$32,"År",2021,"F9",1)))),)</f>
        <v>5.434782608695652E-2</v>
      </c>
      <c r="K113" s="79">
        <f>IFERROR(IF(K$120&lt;7,,((GETPIVOTDATA("F9",pivot!$H$32,"År",2022,"F9",1)))),)</f>
        <v>2.0618556701030927E-2</v>
      </c>
      <c r="L113" s="34">
        <f>IFERROR(IF(L$120&lt;7,,((GETPIVOTDATA("F9",pivot!$H$32,"År",2023,"F9",1)))),)</f>
        <v>3.4090909090909088E-2</v>
      </c>
      <c r="M113" s="149">
        <v>3.4090909090909088E-2</v>
      </c>
      <c r="N113" s="8"/>
      <c r="O113" s="8"/>
      <c r="P113" s="8"/>
      <c r="Q113" s="8"/>
      <c r="R113" s="8"/>
      <c r="S113" s="8"/>
      <c r="T113" s="8"/>
      <c r="U113" s="8"/>
      <c r="V113" s="8"/>
      <c r="W113" s="8"/>
    </row>
    <row r="114" spans="2:23" ht="14.5" x14ac:dyDescent="0.35">
      <c r="B114" s="35">
        <v>2</v>
      </c>
      <c r="C114" s="33"/>
      <c r="D114" s="33"/>
      <c r="E114" s="33"/>
      <c r="F114" s="33"/>
      <c r="G114" s="33"/>
      <c r="H114" s="33">
        <f>IFERROR(IF(H$120&lt;7,,((GETPIVOTDATA("F9",pivot!$H$32,"År",2019,"F9",2)))),)</f>
        <v>2.5974025974025976E-2</v>
      </c>
      <c r="I114" s="33">
        <f>IFERROR(IF(I$120&lt;7,,((GETPIVOTDATA("F9",pivot!$H$32,"År",2020,"F9",2)))),)</f>
        <v>6.1855670103092786E-2</v>
      </c>
      <c r="J114" s="33">
        <f>IFERROR(IF(J$120&lt;7,,((GETPIVOTDATA("F9",pivot!$H$32,"År",2021,"F9",2)))),)</f>
        <v>1.0869565217391304E-2</v>
      </c>
      <c r="K114" s="79">
        <f>IFERROR(IF(K$120&lt;7,,((GETPIVOTDATA("F9",pivot!$H$32,"År",2022,"F9",2)))),)</f>
        <v>0</v>
      </c>
      <c r="L114" s="34">
        <f>IFERROR(IF(L$120&lt;7,,((GETPIVOTDATA("F9",pivot!$H$32,"År",2023,"F9",2)))),)</f>
        <v>3.4090909090909088E-2</v>
      </c>
      <c r="M114" s="149">
        <v>3.4090909090909088E-2</v>
      </c>
      <c r="N114" s="8"/>
      <c r="O114" s="8"/>
      <c r="P114" s="8"/>
      <c r="Q114" s="8"/>
      <c r="R114" s="8"/>
      <c r="S114" s="8"/>
      <c r="T114" s="8"/>
      <c r="U114" s="8"/>
      <c r="V114" s="8"/>
      <c r="W114" s="8"/>
    </row>
    <row r="115" spans="2:23" ht="14.5" x14ac:dyDescent="0.35">
      <c r="B115" s="35">
        <v>3</v>
      </c>
      <c r="C115" s="33"/>
      <c r="D115" s="33"/>
      <c r="E115" s="33"/>
      <c r="F115" s="33"/>
      <c r="G115" s="33"/>
      <c r="H115" s="33">
        <f>IFERROR(IF(H$120&lt;7,,((GETPIVOTDATA("F9",pivot!$H$32,"År",2019,"F9",3)))),)</f>
        <v>0.29870129870129869</v>
      </c>
      <c r="I115" s="33">
        <f>IFERROR(IF(I$120&lt;7,,((GETPIVOTDATA("F9",pivot!$H$32,"År",2020,"F9",3)))),)</f>
        <v>0.28865979381443296</v>
      </c>
      <c r="J115" s="33">
        <f>IFERROR(IF(J$120&lt;7,,((GETPIVOTDATA("F9",pivot!$H$32,"År",2021,"F9",3)))),)</f>
        <v>0.32608695652173914</v>
      </c>
      <c r="K115" s="79">
        <f>IFERROR(IF(K$120&lt;7,,((GETPIVOTDATA("F9",pivot!$H$32,"År",2022,"F9",3)))),)</f>
        <v>0.36082474226804123</v>
      </c>
      <c r="L115" s="34">
        <f>IFERROR(IF(L$120&lt;7,,((GETPIVOTDATA("F9",pivot!$H$32,"År",2023,"F9",3)))),)</f>
        <v>0.23863636363636365</v>
      </c>
      <c r="M115" s="149">
        <v>0.23863636363636365</v>
      </c>
      <c r="N115" s="8"/>
      <c r="O115" s="8"/>
      <c r="P115" s="8"/>
      <c r="Q115" s="8"/>
      <c r="R115" s="8"/>
      <c r="S115" s="8"/>
      <c r="T115" s="8"/>
      <c r="U115" s="8"/>
      <c r="V115" s="8"/>
      <c r="W115" s="8"/>
    </row>
    <row r="116" spans="2:23" ht="14.5" x14ac:dyDescent="0.35">
      <c r="B116" s="35" t="s">
        <v>47</v>
      </c>
      <c r="C116" s="33"/>
      <c r="D116" s="33"/>
      <c r="E116" s="33"/>
      <c r="F116" s="33"/>
      <c r="G116" s="33"/>
      <c r="H116" s="33">
        <f>IFERROR(IF(H$120&lt;7,,((GETPIVOTDATA("F9",pivot!$H$32,"År",2019,"F9",4)))),)</f>
        <v>0.59740259740259738</v>
      </c>
      <c r="I116" s="33">
        <f>IFERROR(IF(I$120&lt;7,,((GETPIVOTDATA("F9",pivot!$H$32,"År",2020,"F9",4)))),)</f>
        <v>0.45360824742268041</v>
      </c>
      <c r="J116" s="33">
        <f>IFERROR(IF(J$120&lt;7,,((GETPIVOTDATA("F9",pivot!$H$32,"År",2021,"F9",4)))),)</f>
        <v>0.47826086956521741</v>
      </c>
      <c r="K116" s="79">
        <f>IFERROR(IF(K$120&lt;7,,((GETPIVOTDATA("F9",pivot!$H$32,"År",2022,"F9",4)))),)</f>
        <v>0.52577319587628868</v>
      </c>
      <c r="L116" s="34">
        <f>IFERROR(IF(L$120&lt;7,,((GETPIVOTDATA("F9",pivot!$H$32,"År",2023,"F9",4)))),)</f>
        <v>0.53409090909090906</v>
      </c>
      <c r="M116" s="149">
        <v>0.53409090909090906</v>
      </c>
      <c r="N116" s="8"/>
      <c r="O116" s="8"/>
      <c r="P116" s="8"/>
      <c r="Q116" s="8"/>
      <c r="R116" s="8"/>
      <c r="S116" s="8"/>
      <c r="T116" s="8"/>
      <c r="U116" s="8"/>
      <c r="V116" s="8"/>
      <c r="W116" s="8"/>
    </row>
    <row r="117" spans="2:23" ht="14.5" x14ac:dyDescent="0.35">
      <c r="B117" s="35" t="s">
        <v>2</v>
      </c>
      <c r="C117" s="33"/>
      <c r="D117" s="33"/>
      <c r="E117" s="33"/>
      <c r="F117" s="33"/>
      <c r="G117" s="33"/>
      <c r="H117" s="33">
        <f>IFERROR(IF(H$120&lt;7,,((GETPIVOTDATA("F9",pivot!$H$32,"År",2019,"F9",5)))),)</f>
        <v>5.1948051948051951E-2</v>
      </c>
      <c r="I117" s="33">
        <f>IFERROR(IF(I$120&lt;7,,((GETPIVOTDATA("F9",pivot!$H$32,"År",2020,"F9",5)))),)</f>
        <v>0.13402061855670103</v>
      </c>
      <c r="J117" s="33">
        <f>IFERROR(IF(J$120&lt;7,,((GETPIVOTDATA("F9",pivot!$H$32,"År",2021,"F9",5)))),)</f>
        <v>0.13043478260869565</v>
      </c>
      <c r="K117" s="79">
        <f>IFERROR(IF(K$120&lt;7,,((GETPIVOTDATA("F9",pivot!$H$32,"År",2022,"F9",5)))),)</f>
        <v>9.2783505154639179E-2</v>
      </c>
      <c r="L117" s="34">
        <f>IFERROR(IF(L$120&lt;7,,((GETPIVOTDATA("F9",pivot!$H$32,"År",2023,"F9",5)))),)</f>
        <v>0.15909090909090909</v>
      </c>
      <c r="M117" s="149">
        <v>0.15909090909090909</v>
      </c>
      <c r="N117" s="8"/>
      <c r="O117" s="8"/>
      <c r="P117" s="8"/>
      <c r="Q117" s="8"/>
      <c r="R117" s="8"/>
      <c r="S117" s="8"/>
      <c r="T117" s="8"/>
      <c r="U117" s="8"/>
      <c r="V117" s="8"/>
      <c r="W117" s="8"/>
    </row>
    <row r="118" spans="2:23" ht="14.5" x14ac:dyDescent="0.35">
      <c r="B118" s="32" t="s">
        <v>6</v>
      </c>
      <c r="C118" s="33"/>
      <c r="D118" s="33"/>
      <c r="E118" s="33"/>
      <c r="F118" s="33"/>
      <c r="G118" s="33"/>
      <c r="H118" s="33">
        <f t="shared" ref="H118:L118" si="1">IFERROR(SUM(H113:H117),"-")</f>
        <v>1</v>
      </c>
      <c r="I118" s="33">
        <f t="shared" si="1"/>
        <v>1</v>
      </c>
      <c r="J118" s="33">
        <f t="shared" si="1"/>
        <v>1</v>
      </c>
      <c r="K118" s="79">
        <f t="shared" si="1"/>
        <v>1</v>
      </c>
      <c r="L118" s="34">
        <f t="shared" si="1"/>
        <v>0.99999999999999989</v>
      </c>
      <c r="M118" s="149">
        <v>0.99999999999999989</v>
      </c>
      <c r="N118" s="8"/>
      <c r="O118" s="8"/>
      <c r="P118" s="8"/>
      <c r="Q118" s="8"/>
      <c r="R118" s="8"/>
      <c r="S118" s="8"/>
      <c r="T118" s="8"/>
      <c r="U118" s="8"/>
      <c r="V118" s="8"/>
      <c r="W118" s="8"/>
    </row>
    <row r="119" spans="2:23" ht="14.5" x14ac:dyDescent="0.35">
      <c r="B119" s="103" t="s">
        <v>7</v>
      </c>
      <c r="C119" s="104"/>
      <c r="D119" s="104"/>
      <c r="E119" s="104"/>
      <c r="F119" s="104"/>
      <c r="G119" s="104"/>
      <c r="H119" s="105">
        <f>IFERROR(IF(H$120&lt;7,,((GETPIVOTDATA("F9",pivot!$O$32,"År",2019)))),)</f>
        <v>3.547945205479452</v>
      </c>
      <c r="I119" s="105">
        <f>IFERROR(IF(I$120&lt;7,,((GETPIVOTDATA("F9",pivot!$O$32,"År",2020)))),)</f>
        <v>3.3095238095238093</v>
      </c>
      <c r="J119" s="105">
        <f>IFERROR(IF(J$120&lt;7,,((GETPIVOTDATA("F9",pivot!$O$32,"År",2021)))),)</f>
        <v>3.4125000000000001</v>
      </c>
      <c r="K119" s="165">
        <f>IFERROR(IF(K$120&lt;7,,((GETPIVOTDATA("F9",pivot!$O$32,"År",2022)))),)</f>
        <v>3.5340909090909092</v>
      </c>
      <c r="L119" s="148">
        <f>IFERROR(IF(L$120&lt;7,,((GETPIVOTDATA("F9",pivot!$O$32,"År",2023)))),)</f>
        <v>3.5135135135135136</v>
      </c>
      <c r="M119" s="104">
        <v>3.5135135135135136</v>
      </c>
      <c r="N119" s="8"/>
      <c r="O119" s="8"/>
      <c r="P119" s="8"/>
      <c r="Q119" s="8"/>
      <c r="R119" s="8"/>
      <c r="S119" s="8"/>
      <c r="T119" s="8"/>
      <c r="U119" s="8"/>
      <c r="V119" s="8"/>
      <c r="W119" s="8"/>
    </row>
    <row r="120" spans="2:23" ht="14.5" x14ac:dyDescent="0.35">
      <c r="B120" s="32" t="s">
        <v>8</v>
      </c>
      <c r="C120" s="36"/>
      <c r="D120" s="36"/>
      <c r="E120" s="36"/>
      <c r="F120" s="36"/>
      <c r="G120" s="36"/>
      <c r="H120" s="36">
        <f>IFERROR(GETPIVOTDATA("F9",pivot!$A$32,"År",2019),)</f>
        <v>77</v>
      </c>
      <c r="I120" s="36">
        <f>IFERROR(GETPIVOTDATA("F9",pivot!$A$32,"År",2020),)</f>
        <v>97</v>
      </c>
      <c r="J120" s="36">
        <f>IFERROR(GETPIVOTDATA("F9",pivot!$A$32,"År",2021),)</f>
        <v>92</v>
      </c>
      <c r="K120" s="92">
        <f>IFERROR(GETPIVOTDATA("F9",pivot!$A$32,"År",2022),)</f>
        <v>97</v>
      </c>
      <c r="L120" s="39">
        <f>IFERROR(GETPIVOTDATA("F9",pivot!$A$32,"År",2023),)</f>
        <v>88</v>
      </c>
      <c r="M120" s="36">
        <v>88</v>
      </c>
      <c r="N120" s="8"/>
      <c r="O120" s="8"/>
      <c r="P120" s="8"/>
      <c r="Q120" s="8"/>
      <c r="R120" s="8"/>
      <c r="S120" s="8"/>
      <c r="T120" s="8"/>
      <c r="U120" s="8"/>
      <c r="V120" s="8"/>
      <c r="W120" s="8"/>
    </row>
    <row r="121" spans="2:23" ht="14.5" x14ac:dyDescent="0.35">
      <c r="D121" s="18"/>
      <c r="E121" s="18"/>
      <c r="F121" s="18"/>
      <c r="G121" s="18"/>
      <c r="H121" s="18"/>
      <c r="I121" s="18"/>
      <c r="J121" s="18"/>
      <c r="K121" s="18"/>
      <c r="L121" s="18"/>
      <c r="M121" s="18"/>
      <c r="N121" s="8"/>
      <c r="O121" s="8"/>
      <c r="P121" s="8"/>
      <c r="Q121" s="8"/>
      <c r="R121" s="8"/>
      <c r="S121" s="8"/>
      <c r="T121" s="8"/>
      <c r="U121" s="8"/>
      <c r="V121" s="8"/>
    </row>
    <row r="122" spans="2:23" ht="8.25" customHeight="1" x14ac:dyDescent="0.25">
      <c r="F122" s="18"/>
      <c r="G122" s="9"/>
      <c r="H122" s="18"/>
      <c r="I122" s="9"/>
      <c r="K122" s="9"/>
      <c r="L122" s="9"/>
      <c r="M122" s="9"/>
    </row>
    <row r="123" spans="2:23" ht="3.75" customHeight="1" x14ac:dyDescent="0.35">
      <c r="D123" s="18"/>
      <c r="E123" s="18"/>
      <c r="F123" s="18"/>
      <c r="G123" s="9"/>
      <c r="H123" s="18"/>
      <c r="I123" s="9"/>
      <c r="K123" s="9"/>
      <c r="L123" s="9"/>
      <c r="M123" s="9"/>
      <c r="N123" s="8"/>
      <c r="O123" s="8"/>
      <c r="P123" s="8"/>
      <c r="Q123" s="8"/>
      <c r="R123" s="8"/>
      <c r="S123" s="8"/>
      <c r="T123" s="8"/>
      <c r="U123" s="8"/>
    </row>
    <row r="124" spans="2:23" ht="9.75" customHeight="1" x14ac:dyDescent="0.35">
      <c r="D124" s="18"/>
      <c r="E124" s="18"/>
      <c r="F124" s="18"/>
      <c r="G124" s="9"/>
      <c r="H124" s="18"/>
      <c r="I124" s="9"/>
      <c r="K124" s="9"/>
      <c r="L124" s="9"/>
      <c r="M124" s="9"/>
      <c r="N124" s="8"/>
      <c r="O124" s="8"/>
      <c r="P124" s="8"/>
      <c r="Q124" s="8"/>
      <c r="R124" s="8"/>
      <c r="S124" s="8"/>
      <c r="T124" s="8"/>
      <c r="U124" s="8"/>
      <c r="V124" s="8"/>
      <c r="W124" s="8"/>
    </row>
    <row r="125" spans="2:23" ht="15.5" x14ac:dyDescent="0.35">
      <c r="B125" s="124" t="s">
        <v>64</v>
      </c>
      <c r="C125" s="27"/>
      <c r="D125" s="18"/>
      <c r="E125" s="18"/>
      <c r="F125" s="18"/>
      <c r="G125" s="9"/>
      <c r="H125" s="18"/>
      <c r="I125" s="18"/>
      <c r="J125" s="18"/>
      <c r="K125" s="18"/>
      <c r="L125" s="18"/>
      <c r="M125" s="18"/>
      <c r="N125" s="8"/>
      <c r="O125" s="8"/>
      <c r="P125" s="8"/>
      <c r="Q125" s="8"/>
      <c r="R125" s="8"/>
      <c r="S125" s="8"/>
      <c r="T125" s="8"/>
      <c r="U125" s="8"/>
      <c r="V125" s="8"/>
      <c r="W125" s="8"/>
    </row>
    <row r="126" spans="2:23" ht="14.5" x14ac:dyDescent="0.35">
      <c r="B126" s="42"/>
      <c r="C126" s="42"/>
      <c r="D126" s="18"/>
      <c r="E126" s="18"/>
      <c r="F126" s="18"/>
      <c r="G126" s="9"/>
      <c r="I126" s="151"/>
      <c r="J126" s="151"/>
      <c r="K126" s="151"/>
      <c r="L126" s="150" t="str">
        <f>$G$7</f>
        <v>(Alla)</v>
      </c>
      <c r="M126" s="177" t="s">
        <v>6</v>
      </c>
      <c r="N126" s="8"/>
      <c r="O126" s="8"/>
      <c r="P126" s="8"/>
    </row>
    <row r="127" spans="2:23" ht="14.5" x14ac:dyDescent="0.35">
      <c r="B127" s="29"/>
      <c r="C127" s="29"/>
      <c r="D127" s="30"/>
      <c r="E127" s="30"/>
      <c r="F127" s="30"/>
      <c r="G127" s="30"/>
      <c r="H127" s="30">
        <v>2019</v>
      </c>
      <c r="I127" s="30">
        <v>2020</v>
      </c>
      <c r="J127" s="30">
        <v>2021</v>
      </c>
      <c r="K127" s="93">
        <v>2022</v>
      </c>
      <c r="L127" s="31">
        <v>2023</v>
      </c>
      <c r="M127" s="30">
        <v>2023</v>
      </c>
      <c r="N127" s="8"/>
      <c r="O127" s="8"/>
      <c r="P127" s="8"/>
    </row>
    <row r="128" spans="2:23" ht="14.5" x14ac:dyDescent="0.35">
      <c r="B128" s="32" t="s">
        <v>46</v>
      </c>
      <c r="C128" s="32"/>
      <c r="D128" s="43"/>
      <c r="E128" s="43"/>
      <c r="F128" s="43"/>
      <c r="G128" s="43"/>
      <c r="H128" s="43">
        <f>IFERROR(IF(H$135&lt;7,,((GETPIVOTDATA("På lektionerna pratar vi om sådant som vi hört och läst",pivot!$I$164,"År",2019,"På lektionerna pratar vi om sådant som vi hört och läst",1)))),)</f>
        <v>1.282051282051282E-2</v>
      </c>
      <c r="I128" s="43">
        <f>IFERROR(IF(I$135&lt;7,,((GETPIVOTDATA("På lektionerna pratar vi om sådant som vi hört och läst",pivot!$I$164,"År",2020,"På lektionerna pratar vi om sådant som vi hört och läst",1)))),)</f>
        <v>0</v>
      </c>
      <c r="J128" s="43">
        <f>IFERROR(IF(J$135&lt;7,,((GETPIVOTDATA("På lektionerna pratar vi om sådant som vi hört och läst",pivot!$I$164,"År",2021,"På lektionerna pratar vi om sådant som vi hört och läst",1)))),)</f>
        <v>2.1505376344086023E-2</v>
      </c>
      <c r="K128" s="166">
        <f>IFERROR(IF(K$135&lt;7,,((GETPIVOTDATA("På lektionerna pratar vi om sådant som vi hört och läst",pivot!$I$164,"År",2022,"På lektionerna pratar vi om sådant som vi hört och läst",1)))),)</f>
        <v>1.0416666666666666E-2</v>
      </c>
      <c r="L128" s="44">
        <f>IFERROR(IF(L$135&lt;7,,((GETPIVOTDATA("På lektionerna pratar vi om sådant som vi hört och läst",pivot!$I$164,"År",2023,"På lektionerna pratar vi om sådant som vi hört och läst",1)))),)</f>
        <v>2.2988505747126436E-2</v>
      </c>
      <c r="M128" s="149">
        <v>2.2988505747126436E-2</v>
      </c>
      <c r="N128" s="8"/>
      <c r="O128" s="8"/>
      <c r="P128" s="8"/>
    </row>
    <row r="129" spans="2:23" ht="14.5" x14ac:dyDescent="0.35">
      <c r="B129" s="35">
        <v>2</v>
      </c>
      <c r="C129" s="35"/>
      <c r="D129" s="43"/>
      <c r="E129" s="43"/>
      <c r="F129" s="43"/>
      <c r="G129" s="43"/>
      <c r="H129" s="43">
        <f>IFERROR(IF(H$135&lt;7,,((GETPIVOTDATA("På lektionerna pratar vi om sådant som vi hört och läst",pivot!$I$164,"År",2019,"På lektionerna pratar vi om sådant som vi hört och läst",2)))),)</f>
        <v>2.564102564102564E-2</v>
      </c>
      <c r="I129" s="43">
        <f>IFERROR(IF(I$135&lt;7,,((GETPIVOTDATA("På lektionerna pratar vi om sådant som vi hört och läst",pivot!$I$164,"År",2020,"På lektionerna pratar vi om sådant som vi hört och läst",2)))),)</f>
        <v>2.1276595744680851E-2</v>
      </c>
      <c r="J129" s="43">
        <f>IFERROR(IF(J$135&lt;7,,((GETPIVOTDATA("På lektionerna pratar vi om sådant som vi hört och läst",pivot!$I$164,"År",2021,"På lektionerna pratar vi om sådant som vi hört och läst",2)))),)</f>
        <v>3.2258064516129031E-2</v>
      </c>
      <c r="K129" s="166">
        <f>IFERROR(IF(K$135&lt;7,,((GETPIVOTDATA("På lektionerna pratar vi om sådant som vi hört och läst",pivot!$I$164,"År",2022,"På lektionerna pratar vi om sådant som vi hört och läst",2)))),)</f>
        <v>3.125E-2</v>
      </c>
      <c r="L129" s="44">
        <f>IFERROR(IF(L$135&lt;7,,((GETPIVOTDATA("På lektionerna pratar vi om sådant som vi hört och läst",pivot!$I$164,"År",2023,"På lektionerna pratar vi om sådant som vi hört och läst",2)))),)</f>
        <v>5.7471264367816091E-2</v>
      </c>
      <c r="M129" s="149">
        <v>5.7471264367816091E-2</v>
      </c>
      <c r="N129" s="8"/>
      <c r="O129" s="8"/>
      <c r="P129" s="8"/>
    </row>
    <row r="130" spans="2:23" ht="14.5" x14ac:dyDescent="0.35">
      <c r="B130" s="35">
        <v>3</v>
      </c>
      <c r="C130" s="35"/>
      <c r="D130" s="43"/>
      <c r="E130" s="43"/>
      <c r="F130" s="43"/>
      <c r="G130" s="43"/>
      <c r="H130" s="43">
        <f>IFERROR(IF(H$135&lt;7,,((GETPIVOTDATA("På lektionerna pratar vi om sådant som vi hört och läst",pivot!$I$164,"År",2019,"På lektionerna pratar vi om sådant som vi hört och läst",3)))),)</f>
        <v>0.25641025641025639</v>
      </c>
      <c r="I130" s="43">
        <f>IFERROR(IF(I$135&lt;7,,((GETPIVOTDATA("På lektionerna pratar vi om sådant som vi hört och läst",pivot!$I$164,"År",2020,"På lektionerna pratar vi om sådant som vi hört och läst",3)))),)</f>
        <v>0.35106382978723405</v>
      </c>
      <c r="J130" s="43">
        <f>IFERROR(IF(J$135&lt;7,,((GETPIVOTDATA("På lektionerna pratar vi om sådant som vi hört och läst",pivot!$I$164,"År",2021,"På lektionerna pratar vi om sådant som vi hört och läst",3)))),)</f>
        <v>0.34408602150537637</v>
      </c>
      <c r="K130" s="166">
        <f>IFERROR(IF(K$135&lt;7,,((GETPIVOTDATA("På lektionerna pratar vi om sådant som vi hört och läst",pivot!$I$164,"År",2022,"På lektionerna pratar vi om sådant som vi hört och läst",3)))),)</f>
        <v>0.28125</v>
      </c>
      <c r="L130" s="44">
        <f>IFERROR(IF(L$135&lt;7,,((GETPIVOTDATA("På lektionerna pratar vi om sådant som vi hört och läst",pivot!$I$164,"År",2023,"På lektionerna pratar vi om sådant som vi hört och läst",3)))),)</f>
        <v>0.22988505747126436</v>
      </c>
      <c r="M130" s="149">
        <v>0.22988505747126436</v>
      </c>
      <c r="N130" s="8"/>
      <c r="O130" s="8"/>
      <c r="P130" s="8"/>
    </row>
    <row r="131" spans="2:23" ht="14.5" x14ac:dyDescent="0.35">
      <c r="B131" s="35" t="s">
        <v>47</v>
      </c>
      <c r="C131" s="32"/>
      <c r="D131" s="43"/>
      <c r="E131" s="43"/>
      <c r="F131" s="43"/>
      <c r="G131" s="43"/>
      <c r="H131" s="43">
        <f>IFERROR(IF(H$135&lt;7,,((GETPIVOTDATA("På lektionerna pratar vi om sådant som vi hört och läst",pivot!$I$164,"År",2019,"På lektionerna pratar vi om sådant som vi hört och läst",4)))),)</f>
        <v>0.67948717948717952</v>
      </c>
      <c r="I131" s="43">
        <f>IFERROR(IF(I$135&lt;7,,((GETPIVOTDATA("På lektionerna pratar vi om sådant som vi hört och läst",pivot!$I$164,"År",2020,"På lektionerna pratar vi om sådant som vi hört och läst",4)))),)</f>
        <v>0.5957446808510638</v>
      </c>
      <c r="J131" s="43">
        <f>IFERROR(IF(J$135&lt;7,,((GETPIVOTDATA("På lektionerna pratar vi om sådant som vi hört och läst",pivot!$I$164,"År",2021,"På lektionerna pratar vi om sådant som vi hört och läst",4)))),)</f>
        <v>0.56989247311827962</v>
      </c>
      <c r="K131" s="166">
        <f>IFERROR(IF(K$135&lt;7,,((GETPIVOTDATA("På lektionerna pratar vi om sådant som vi hört och läst",pivot!$I$164,"År",2022,"På lektionerna pratar vi om sådant som vi hört och läst",4)))),)</f>
        <v>0.64583333333333337</v>
      </c>
      <c r="L131" s="44">
        <f>IFERROR(IF(L$135&lt;7,,((GETPIVOTDATA("På lektionerna pratar vi om sådant som vi hört och läst",pivot!$I$164,"År",2023,"På lektionerna pratar vi om sådant som vi hört och läst",4)))),)</f>
        <v>0.62068965517241381</v>
      </c>
      <c r="M131" s="149">
        <v>0.62068965517241381</v>
      </c>
      <c r="N131" s="8"/>
      <c r="O131" s="8"/>
      <c r="P131" s="8"/>
    </row>
    <row r="132" spans="2:23" ht="14.5" x14ac:dyDescent="0.35">
      <c r="B132" s="35" t="s">
        <v>2</v>
      </c>
      <c r="C132" s="32"/>
      <c r="D132" s="43"/>
      <c r="E132" s="43"/>
      <c r="F132" s="43"/>
      <c r="G132" s="43"/>
      <c r="H132" s="43">
        <f>IFERROR(IF(H$135&lt;7,,((GETPIVOTDATA("På lektionerna pratar vi om sådant som vi hört och läst",pivot!$I$164,"År",2019,"På lektionerna pratar vi om sådant som vi hört och läst",5)))),)</f>
        <v>2.564102564102564E-2</v>
      </c>
      <c r="I132" s="43">
        <f>IFERROR(IF(I$135&lt;7,,((GETPIVOTDATA("På lektionerna pratar vi om sådant som vi hört och läst",pivot!$I$164,"År",2020,"På lektionerna pratar vi om sådant som vi hört och läst",5)))),)</f>
        <v>3.1914893617021274E-2</v>
      </c>
      <c r="J132" s="43">
        <f>IFERROR(IF(J$135&lt;7,,((GETPIVOTDATA("På lektionerna pratar vi om sådant som vi hört och läst",pivot!$I$164,"År",2021,"På lektionerna pratar vi om sådant som vi hört och läst",5)))),)</f>
        <v>3.2258064516129031E-2</v>
      </c>
      <c r="K132" s="166">
        <f>IFERROR(IF(K$135&lt;7,,((GETPIVOTDATA("På lektionerna pratar vi om sådant som vi hört och läst",pivot!$I$164,"År",2022,"På lektionerna pratar vi om sådant som vi hört och läst",5)))),)</f>
        <v>3.125E-2</v>
      </c>
      <c r="L132" s="44">
        <f>IFERROR(IF(L$135&lt;7,,((GETPIVOTDATA("På lektionerna pratar vi om sådant som vi hört och läst",pivot!$I$164,"År",2023,"På lektionerna pratar vi om sådant som vi hört och läst",5)))),)</f>
        <v>6.8965517241379309E-2</v>
      </c>
      <c r="M132" s="149">
        <v>6.8965517241379309E-2</v>
      </c>
      <c r="N132" s="8"/>
      <c r="O132" s="8"/>
      <c r="P132" s="8"/>
    </row>
    <row r="133" spans="2:23" ht="14.5" x14ac:dyDescent="0.35">
      <c r="B133" s="32" t="s">
        <v>6</v>
      </c>
      <c r="C133" s="32"/>
      <c r="D133" s="43"/>
      <c r="E133" s="43"/>
      <c r="F133" s="43"/>
      <c r="G133" s="43"/>
      <c r="H133" s="43">
        <f>IFERROR(SUM(H128:H132),"-")</f>
        <v>1</v>
      </c>
      <c r="I133" s="43">
        <f>IFERROR(SUM(I128:I132),"-")</f>
        <v>1</v>
      </c>
      <c r="J133" s="43">
        <f>IFERROR(SUM(J128:J132),"-")</f>
        <v>1</v>
      </c>
      <c r="K133" s="166">
        <f>IFERROR(SUM(K128:K132),"-")</f>
        <v>1</v>
      </c>
      <c r="L133" s="44">
        <f>IFERROR(SUM(L128:L132),"-")</f>
        <v>1</v>
      </c>
      <c r="M133" s="149">
        <v>1</v>
      </c>
      <c r="N133" s="8"/>
      <c r="O133" s="8"/>
      <c r="P133" s="8"/>
    </row>
    <row r="134" spans="2:23" ht="14.5" x14ac:dyDescent="0.35">
      <c r="B134" s="103" t="s">
        <v>7</v>
      </c>
      <c r="C134" s="104"/>
      <c r="D134" s="104"/>
      <c r="E134" s="104"/>
      <c r="F134" s="104"/>
      <c r="G134" s="104"/>
      <c r="H134" s="105">
        <f>IFERROR(IF(H$135&lt;7,,((GETPIVOTDATA("På lektionerna pratar vi om sådant som vi hört och läst",pivot!$P$164,"År",2019)))),)</f>
        <v>3.6447368421052633</v>
      </c>
      <c r="I134" s="105">
        <f>IFERROR(IF(I$135&lt;7,,((GETPIVOTDATA("På lektionerna pratar vi om sådant som vi hört och läst",pivot!$P$164,"År",2020)))),)</f>
        <v>3.5934065934065935</v>
      </c>
      <c r="J134" s="105">
        <f>IFERROR(IF(J$135&lt;7,,((GETPIVOTDATA("På lektionerna pratar vi om sådant som vi hört och läst",pivot!$P$164,"År",2021)))),)</f>
        <v>3.5111111111111111</v>
      </c>
      <c r="K134" s="165">
        <f>IFERROR(IF(K$135&lt;7,,((GETPIVOTDATA("På lektionerna pratar vi om sådant som vi hört och läst",pivot!$P$164,"År",2022)))),)</f>
        <v>3.6129032258064515</v>
      </c>
      <c r="L134" s="148">
        <f>IFERROR(IF(L$135&lt;7,,((GETPIVOTDATA("På lektionerna pratar vi om sådant som vi hört och läst",pivot!$P$164,"År",2023)))),)</f>
        <v>3.5555555555555554</v>
      </c>
      <c r="M134" s="104">
        <v>3.5555555555555554</v>
      </c>
      <c r="N134" s="8"/>
      <c r="O134" s="8"/>
      <c r="P134" s="8"/>
      <c r="Q134" s="8"/>
      <c r="R134" s="8"/>
      <c r="S134" s="8"/>
      <c r="T134" s="8"/>
      <c r="U134" s="8"/>
      <c r="V134" s="8"/>
      <c r="W134" s="8"/>
    </row>
    <row r="135" spans="2:23" ht="14.5" x14ac:dyDescent="0.35">
      <c r="B135" s="32" t="s">
        <v>8</v>
      </c>
      <c r="C135" s="32"/>
      <c r="D135" s="45"/>
      <c r="E135" s="45"/>
      <c r="F135" s="45"/>
      <c r="G135" s="45"/>
      <c r="H135" s="45">
        <f>IFERROR(GETPIVOTDATA("På lektionerna pratar vi om sådant som vi hört och läst",pivot!$A$164,"År",2019),)</f>
        <v>78</v>
      </c>
      <c r="I135" s="45">
        <f>IFERROR(GETPIVOTDATA("På lektionerna pratar vi om sådant som vi hört och läst",pivot!$A$164,"År",2020),)</f>
        <v>94</v>
      </c>
      <c r="J135" s="45">
        <f>IFERROR(GETPIVOTDATA("På lektionerna pratar vi om sådant som vi hört och läst",pivot!$A$164,"År",2021),)</f>
        <v>93</v>
      </c>
      <c r="K135" s="167">
        <f>IFERROR(GETPIVOTDATA("På lektionerna pratar vi om sådant som vi hört och läst",pivot!$A$164,"År",2022),)</f>
        <v>96</v>
      </c>
      <c r="L135" s="46">
        <f>IFERROR(GETPIVOTDATA("På lektionerna pratar vi om sådant som vi hört och läst",pivot!$A$164,"År",2023),)</f>
        <v>87</v>
      </c>
      <c r="M135" s="36">
        <v>87</v>
      </c>
      <c r="N135" s="8"/>
      <c r="O135" s="8"/>
      <c r="P135" s="8"/>
      <c r="Q135" s="8"/>
      <c r="R135" s="8"/>
      <c r="S135" s="8"/>
      <c r="T135" s="8"/>
      <c r="U135" s="8"/>
      <c r="V135" s="8"/>
      <c r="W135" s="8"/>
    </row>
    <row r="136" spans="2:23" ht="14.5" x14ac:dyDescent="0.35">
      <c r="D136" s="47"/>
      <c r="E136" s="47"/>
      <c r="F136" s="47"/>
      <c r="G136" s="47"/>
      <c r="H136" s="47"/>
      <c r="I136" s="47"/>
      <c r="J136" s="47"/>
      <c r="K136" s="48"/>
      <c r="L136" s="47"/>
      <c r="M136" s="18"/>
      <c r="N136" s="8"/>
      <c r="O136" s="8"/>
      <c r="P136" s="8"/>
      <c r="Q136" s="8"/>
      <c r="R136" s="8"/>
      <c r="S136" s="8"/>
      <c r="T136" s="8"/>
      <c r="U136" s="8"/>
      <c r="V136" s="8"/>
      <c r="W136" s="8"/>
    </row>
    <row r="137" spans="2:23" ht="10.5" customHeight="1" x14ac:dyDescent="0.35">
      <c r="D137" s="47"/>
      <c r="E137" s="47"/>
      <c r="F137" s="47"/>
      <c r="G137" s="47"/>
      <c r="H137" s="47"/>
      <c r="I137" s="48"/>
      <c r="J137" s="48"/>
      <c r="K137" s="48"/>
      <c r="L137" s="48"/>
      <c r="M137" s="9"/>
      <c r="N137" s="8"/>
      <c r="O137" s="8"/>
      <c r="P137" s="8"/>
      <c r="Q137" s="8"/>
      <c r="R137" s="8"/>
      <c r="S137" s="8"/>
      <c r="T137" s="8"/>
      <c r="U137" s="8"/>
      <c r="V137" s="8"/>
      <c r="W137" s="8"/>
    </row>
    <row r="138" spans="2:23" ht="15.5" x14ac:dyDescent="0.35">
      <c r="B138" s="124" t="s">
        <v>65</v>
      </c>
      <c r="C138" s="27"/>
      <c r="D138" s="18"/>
      <c r="E138" s="18"/>
      <c r="F138" s="18"/>
      <c r="G138" s="18"/>
      <c r="H138" s="18"/>
      <c r="I138" s="18"/>
      <c r="J138" s="18"/>
      <c r="K138" s="9"/>
      <c r="L138" s="18"/>
      <c r="M138" s="18"/>
      <c r="N138" s="8"/>
      <c r="O138" s="8"/>
      <c r="P138" s="8"/>
      <c r="Q138" s="8"/>
      <c r="R138" s="8"/>
      <c r="S138" s="8"/>
      <c r="T138" s="8"/>
      <c r="U138" s="8"/>
      <c r="V138" s="8"/>
      <c r="W138" s="8"/>
    </row>
    <row r="139" spans="2:23" ht="14.5" x14ac:dyDescent="0.35">
      <c r="B139" s="42"/>
      <c r="C139" s="42"/>
      <c r="D139" s="18"/>
      <c r="E139" s="18"/>
      <c r="F139" s="18"/>
      <c r="G139" s="18"/>
      <c r="I139" s="151"/>
      <c r="J139" s="151"/>
      <c r="K139" s="15"/>
      <c r="L139" s="150" t="str">
        <f>$G$7</f>
        <v>(Alla)</v>
      </c>
      <c r="M139" s="177" t="s">
        <v>6</v>
      </c>
      <c r="N139" s="8"/>
      <c r="O139" s="8"/>
      <c r="P139" s="8"/>
      <c r="Q139" s="8"/>
      <c r="R139" s="8"/>
      <c r="S139" s="8"/>
      <c r="T139" s="8"/>
      <c r="U139" s="8"/>
      <c r="V139" s="8"/>
      <c r="W139" s="8"/>
    </row>
    <row r="140" spans="2:23" ht="14.5" x14ac:dyDescent="0.35">
      <c r="B140" s="29"/>
      <c r="C140" s="29"/>
      <c r="D140" s="30"/>
      <c r="E140" s="30"/>
      <c r="F140" s="30"/>
      <c r="G140" s="30"/>
      <c r="H140" s="30">
        <v>2019</v>
      </c>
      <c r="I140" s="30">
        <v>2020</v>
      </c>
      <c r="J140" s="30">
        <v>2021</v>
      </c>
      <c r="K140" s="93">
        <v>2022</v>
      </c>
      <c r="L140" s="31">
        <v>2023</v>
      </c>
      <c r="M140" s="30">
        <v>2023</v>
      </c>
      <c r="N140" s="8"/>
      <c r="O140" s="8"/>
      <c r="P140" s="8"/>
      <c r="Q140" s="8"/>
      <c r="R140" s="8"/>
      <c r="S140" s="8"/>
      <c r="T140" s="8"/>
      <c r="U140" s="8"/>
      <c r="V140" s="8"/>
      <c r="W140" s="8"/>
    </row>
    <row r="141" spans="2:23" ht="14.5" x14ac:dyDescent="0.35">
      <c r="B141" s="32" t="s">
        <v>46</v>
      </c>
      <c r="C141" s="32"/>
      <c r="D141" s="43"/>
      <c r="E141" s="43"/>
      <c r="F141" s="43"/>
      <c r="G141" s="43"/>
      <c r="H141" s="43">
        <f>IFERROR(IF(H$148&lt;7,,((GETPIVOTDATA("I skolan pratar vi om att alla är lika mycket värda ",pivot!$I$175,"År",2019,"I skolan pratar vi om att alla är lika mycket värda ",1)))),)</f>
        <v>0</v>
      </c>
      <c r="I141" s="43">
        <f>IFERROR(IF(I$148&lt;7,,((GETPIVOTDATA("I skolan pratar vi om att alla är lika mycket värda ",pivot!$I$175,"År",2020,"I skolan pratar vi om att alla är lika mycket värda ",1)))),)</f>
        <v>1.0309278350515464E-2</v>
      </c>
      <c r="J141" s="43">
        <f>IFERROR(IF(J$148&lt;7,,((GETPIVOTDATA("I skolan pratar vi om att alla är lika mycket värda ",pivot!$I$175,"År",2021,"I skolan pratar vi om att alla är lika mycket värda ",1)))),)</f>
        <v>2.1505376344086023E-2</v>
      </c>
      <c r="K141" s="166">
        <f>IFERROR(IF(K$148&lt;7,,((GETPIVOTDATA("I skolan pratar vi om att alla är lika mycket värda ",pivot!$I$175,"År",2022,"I skolan pratar vi om att alla är lika mycket värda ",1)))),)</f>
        <v>1.0526315789473684E-2</v>
      </c>
      <c r="L141" s="44">
        <f>IFERROR(IF(L$148&lt;7,,((GETPIVOTDATA("I skolan pratar vi om att alla är lika mycket värda ",pivot!$I$175,"År",2023,"I skolan pratar vi om att alla är lika mycket värda ",1)))),)</f>
        <v>2.247191011235955E-2</v>
      </c>
      <c r="M141" s="149">
        <v>2.247191011235955E-2</v>
      </c>
      <c r="N141" s="8"/>
      <c r="O141" s="8"/>
      <c r="P141" s="8"/>
      <c r="Q141" s="8"/>
      <c r="R141" s="8"/>
      <c r="S141" s="8"/>
      <c r="T141" s="8"/>
      <c r="U141" s="8"/>
      <c r="V141" s="8"/>
      <c r="W141" s="8"/>
    </row>
    <row r="142" spans="2:23" ht="14.5" x14ac:dyDescent="0.35">
      <c r="B142" s="35">
        <v>2</v>
      </c>
      <c r="C142" s="35"/>
      <c r="D142" s="43"/>
      <c r="E142" s="43"/>
      <c r="F142" s="43"/>
      <c r="G142" s="43"/>
      <c r="H142" s="43">
        <f>IFERROR(IF(H$148&lt;7,,((GETPIVOTDATA("I skolan pratar vi om att alla är lika mycket värda ",pivot!$I$175,"År",2019,"I skolan pratar vi om att alla är lika mycket värda ",2)))),)</f>
        <v>1.3333333333333334E-2</v>
      </c>
      <c r="I142" s="43">
        <f>IFERROR(IF(I$148&lt;7,,((GETPIVOTDATA("I skolan pratar vi om att alla är lika mycket värda ",pivot!$I$175,"År",2020,"I skolan pratar vi om att alla är lika mycket värda ",2)))),)</f>
        <v>1.0309278350515464E-2</v>
      </c>
      <c r="J142" s="43">
        <f>IFERROR(IF(J$148&lt;7,,((GETPIVOTDATA("I skolan pratar vi om att alla är lika mycket värda ",pivot!$I$175,"År",2021,"I skolan pratar vi om att alla är lika mycket värda ",2)))),)</f>
        <v>3.2258064516129031E-2</v>
      </c>
      <c r="K142" s="166">
        <f>IFERROR(IF(K$148&lt;7,,((GETPIVOTDATA("I skolan pratar vi om att alla är lika mycket värda ",pivot!$I$175,"År",2022,"I skolan pratar vi om att alla är lika mycket värda ",2)))),)</f>
        <v>2.1052631578947368E-2</v>
      </c>
      <c r="L142" s="44">
        <f>IFERROR(IF(L$148&lt;7,,((GETPIVOTDATA("I skolan pratar vi om att alla är lika mycket värda ",pivot!$I$175,"År",2023,"I skolan pratar vi om att alla är lika mycket värda ",2)))),)</f>
        <v>1.1235955056179775E-2</v>
      </c>
      <c r="M142" s="149">
        <v>1.1235955056179775E-2</v>
      </c>
      <c r="N142" s="8"/>
      <c r="O142" s="8"/>
      <c r="P142" s="8"/>
      <c r="Q142" s="8"/>
      <c r="R142" s="8"/>
      <c r="S142" s="8"/>
      <c r="T142" s="8"/>
      <c r="U142" s="8"/>
      <c r="V142" s="8"/>
      <c r="W142" s="8"/>
    </row>
    <row r="143" spans="2:23" ht="14.5" x14ac:dyDescent="0.35">
      <c r="B143" s="35">
        <v>3</v>
      </c>
      <c r="C143" s="35"/>
      <c r="D143" s="43"/>
      <c r="E143" s="43"/>
      <c r="F143" s="43"/>
      <c r="G143" s="43"/>
      <c r="H143" s="43">
        <f>IFERROR(IF(H$148&lt;7,,((GETPIVOTDATA("I skolan pratar vi om att alla är lika mycket värda ",pivot!$I$175,"År",2019,"I skolan pratar vi om att alla är lika mycket värda ",3)))),)</f>
        <v>0.24</v>
      </c>
      <c r="I143" s="43">
        <f>IFERROR(IF(I$148&lt;7,,((GETPIVOTDATA("I skolan pratar vi om att alla är lika mycket värda ",pivot!$I$175,"År",2020,"I skolan pratar vi om att alla är lika mycket värda ",3)))),)</f>
        <v>0.27835051546391754</v>
      </c>
      <c r="J143" s="43">
        <f>IFERROR(IF(J$148&lt;7,,((GETPIVOTDATA("I skolan pratar vi om att alla är lika mycket värda ",pivot!$I$175,"År",2021,"I skolan pratar vi om att alla är lika mycket värda ",3)))),)</f>
        <v>0.20430107526881722</v>
      </c>
      <c r="K143" s="166">
        <f>IFERROR(IF(K$148&lt;7,,((GETPIVOTDATA("I skolan pratar vi om att alla är lika mycket värda ",pivot!$I$175,"År",2022,"I skolan pratar vi om att alla är lika mycket värda ",3)))),)</f>
        <v>8.4210526315789472E-2</v>
      </c>
      <c r="L143" s="44">
        <f>IFERROR(IF(L$148&lt;7,,((GETPIVOTDATA("I skolan pratar vi om att alla är lika mycket värda ",pivot!$I$175,"År",2023,"I skolan pratar vi om att alla är lika mycket värda ",3)))),)</f>
        <v>0.19101123595505617</v>
      </c>
      <c r="M143" s="149">
        <v>0.19101123595505617</v>
      </c>
      <c r="N143" s="8"/>
      <c r="O143" s="8"/>
      <c r="P143" s="8"/>
      <c r="Q143" s="8"/>
      <c r="R143" s="8"/>
      <c r="S143" s="8"/>
      <c r="T143" s="8"/>
      <c r="U143" s="8"/>
      <c r="V143" s="8"/>
      <c r="W143" s="8"/>
    </row>
    <row r="144" spans="2:23" ht="14.5" x14ac:dyDescent="0.35">
      <c r="B144" s="35" t="s">
        <v>47</v>
      </c>
      <c r="C144" s="32"/>
      <c r="D144" s="43"/>
      <c r="E144" s="43"/>
      <c r="F144" s="43"/>
      <c r="G144" s="43"/>
      <c r="H144" s="43">
        <f>IFERROR(IF(H$148&lt;7,,((GETPIVOTDATA("I skolan pratar vi om att alla är lika mycket värda ",pivot!$I$175,"År",2019,"I skolan pratar vi om att alla är lika mycket värda ",4)))),)</f>
        <v>0.72</v>
      </c>
      <c r="I144" s="43">
        <f>IFERROR(IF(I$148&lt;7,,((GETPIVOTDATA("I skolan pratar vi om att alla är lika mycket värda ",pivot!$I$175,"År",2020,"I skolan pratar vi om att alla är lika mycket värda ",4)))),)</f>
        <v>0.68041237113402064</v>
      </c>
      <c r="J144" s="43">
        <f>IFERROR(IF(J$148&lt;7,,((GETPIVOTDATA("I skolan pratar vi om att alla är lika mycket värda ",pivot!$I$175,"År",2021,"I skolan pratar vi om att alla är lika mycket värda ",4)))),)</f>
        <v>0.65591397849462363</v>
      </c>
      <c r="K144" s="166">
        <f>IFERROR(IF(K$148&lt;7,,((GETPIVOTDATA("I skolan pratar vi om att alla är lika mycket värda ",pivot!$I$175,"År",2022,"I skolan pratar vi om att alla är lika mycket värda ",4)))),)</f>
        <v>0.83157894736842108</v>
      </c>
      <c r="L144" s="44">
        <f>IFERROR(IF(L$148&lt;7,,((GETPIVOTDATA("I skolan pratar vi om att alla är lika mycket värda ",pivot!$I$175,"År",2023,"I skolan pratar vi om att alla är lika mycket värda ",4)))),)</f>
        <v>0.7640449438202247</v>
      </c>
      <c r="M144" s="149">
        <v>0.7640449438202247</v>
      </c>
      <c r="N144" s="8"/>
      <c r="O144" s="8"/>
      <c r="P144" s="8"/>
      <c r="Q144" s="8"/>
      <c r="R144" s="8"/>
      <c r="S144" s="8"/>
      <c r="T144" s="8"/>
      <c r="U144" s="8"/>
      <c r="V144" s="8"/>
      <c r="W144" s="8"/>
    </row>
    <row r="145" spans="2:23" ht="14.5" x14ac:dyDescent="0.35">
      <c r="B145" s="35" t="s">
        <v>2</v>
      </c>
      <c r="C145" s="32"/>
      <c r="D145" s="43"/>
      <c r="E145" s="43"/>
      <c r="F145" s="43"/>
      <c r="G145" s="43"/>
      <c r="H145" s="43">
        <f>IFERROR(IF(H$148&lt;7,,((GETPIVOTDATA("I skolan pratar vi om att alla är lika mycket värda ",pivot!$I$175,"År",2019,"I skolan pratar vi om att alla är lika mycket värda ",5)))),)</f>
        <v>2.6666666666666668E-2</v>
      </c>
      <c r="I145" s="43">
        <f>IFERROR(IF(I$148&lt;7,,((GETPIVOTDATA("I skolan pratar vi om att alla är lika mycket värda ",pivot!$I$175,"År",2020,"I skolan pratar vi om att alla är lika mycket värda ",5)))),)</f>
        <v>2.0618556701030927E-2</v>
      </c>
      <c r="J145" s="43">
        <f>IFERROR(IF(J$148&lt;7,,((GETPIVOTDATA("I skolan pratar vi om att alla är lika mycket värda ",pivot!$I$175,"År",2021,"I skolan pratar vi om att alla är lika mycket värda ",5)))),)</f>
        <v>8.6021505376344093E-2</v>
      </c>
      <c r="K145" s="166">
        <f>IFERROR(IF(K$148&lt;7,,((GETPIVOTDATA("I skolan pratar vi om att alla är lika mycket värda ",pivot!$I$175,"År",2022,"I skolan pratar vi om att alla är lika mycket värda ",5)))),)</f>
        <v>5.2631578947368418E-2</v>
      </c>
      <c r="L145" s="44">
        <f>IFERROR(IF(L$148&lt;7,,((GETPIVOTDATA("I skolan pratar vi om att alla är lika mycket värda ",pivot!$I$175,"År",2023,"I skolan pratar vi om att alla är lika mycket värda ",5)))),)</f>
        <v>1.1235955056179775E-2</v>
      </c>
      <c r="M145" s="149">
        <v>1.1235955056179775E-2</v>
      </c>
      <c r="N145" s="8"/>
      <c r="O145" s="8"/>
      <c r="P145" s="8"/>
      <c r="Q145" s="8"/>
      <c r="R145" s="8"/>
      <c r="S145" s="8"/>
      <c r="T145" s="8"/>
      <c r="U145" s="8"/>
      <c r="V145" s="8"/>
      <c r="W145" s="8"/>
    </row>
    <row r="146" spans="2:23" ht="14.5" x14ac:dyDescent="0.35">
      <c r="B146" s="32" t="s">
        <v>6</v>
      </c>
      <c r="C146" s="32"/>
      <c r="D146" s="43"/>
      <c r="E146" s="43"/>
      <c r="F146" s="43"/>
      <c r="G146" s="43"/>
      <c r="H146" s="43">
        <f>IFERROR(SUM(H141:H145),"-")</f>
        <v>0.99999999999999989</v>
      </c>
      <c r="I146" s="43">
        <f>IFERROR(SUM(I141:I145),"-")</f>
        <v>1</v>
      </c>
      <c r="J146" s="43">
        <f>IFERROR(SUM(J141:J145),"-")</f>
        <v>1</v>
      </c>
      <c r="K146" s="166">
        <f>IFERROR(SUM(K141:K145),"-")</f>
        <v>1</v>
      </c>
      <c r="L146" s="44">
        <f>IFERROR(SUM(L141:L145),"-")</f>
        <v>1</v>
      </c>
      <c r="M146" s="149">
        <v>1</v>
      </c>
      <c r="N146" s="8"/>
      <c r="O146" s="8"/>
      <c r="P146" s="8"/>
      <c r="Q146" s="8"/>
      <c r="R146" s="8"/>
      <c r="S146" s="8"/>
      <c r="T146" s="8"/>
      <c r="U146" s="8"/>
      <c r="V146" s="8"/>
      <c r="W146" s="8"/>
    </row>
    <row r="147" spans="2:23" ht="14.5" x14ac:dyDescent="0.35">
      <c r="B147" s="103" t="s">
        <v>7</v>
      </c>
      <c r="C147" s="104"/>
      <c r="D147" s="104"/>
      <c r="E147" s="104"/>
      <c r="F147" s="104"/>
      <c r="G147" s="104"/>
      <c r="H147" s="105">
        <f>IFERROR(IF(H$148&lt;7,,((GETPIVOTDATA("I skolan pratar vi om att alla är lika mycket värda ",pivot!$P$175,"År",2019)))),)</f>
        <v>3.7260273972602738</v>
      </c>
      <c r="I147" s="105">
        <f>IFERROR(IF(I$148&lt;7,,((GETPIVOTDATA("I skolan pratar vi om att alla är lika mycket värda ",pivot!$P$175,"År",2020)))),)</f>
        <v>3.6631578947368419</v>
      </c>
      <c r="J147" s="105">
        <f>IFERROR(IF(J$148&lt;7,,((GETPIVOTDATA("I skolan pratar vi om att alla är lika mycket värda ",pivot!$P$175,"År",2021)))),)</f>
        <v>3.6352941176470588</v>
      </c>
      <c r="K147" s="165">
        <f>IFERROR(IF(K$148&lt;7,,((GETPIVOTDATA("I skolan pratar vi om att alla är lika mycket värda ",pivot!$P$175,"År",2022)))),)</f>
        <v>3.8333333333333335</v>
      </c>
      <c r="L147" s="148">
        <f>IFERROR(IF(L$148&lt;7,,((GETPIVOTDATA("I skolan pratar vi om att alla är lika mycket värda ",pivot!$P$175,"År",2023)))),)</f>
        <v>3.7159090909090908</v>
      </c>
      <c r="M147" s="104">
        <v>3.7159090909090908</v>
      </c>
      <c r="N147" s="8"/>
      <c r="O147" s="8"/>
      <c r="P147" s="8"/>
      <c r="Q147" s="8"/>
      <c r="R147" s="8"/>
      <c r="S147" s="8"/>
      <c r="T147" s="8"/>
      <c r="U147" s="8"/>
      <c r="V147" s="8"/>
      <c r="W147" s="8"/>
    </row>
    <row r="148" spans="2:23" ht="14.5" x14ac:dyDescent="0.35">
      <c r="B148" s="32" t="s">
        <v>8</v>
      </c>
      <c r="C148" s="32"/>
      <c r="D148" s="45"/>
      <c r="E148" s="45"/>
      <c r="F148" s="45"/>
      <c r="G148" s="45"/>
      <c r="H148" s="45">
        <f>IFERROR(GETPIVOTDATA("I skolan pratar vi om att alla är lika mycket värda ",pivot!$A$175,"År",2019),)</f>
        <v>75</v>
      </c>
      <c r="I148" s="45">
        <f>IFERROR(GETPIVOTDATA("I skolan pratar vi om att alla är lika mycket värda ",pivot!$A$175,"År",2020),)</f>
        <v>97</v>
      </c>
      <c r="J148" s="45">
        <f>IFERROR(GETPIVOTDATA("I skolan pratar vi om att alla är lika mycket värda ",pivot!$A$175,"År",2021),)</f>
        <v>93</v>
      </c>
      <c r="K148" s="167">
        <f>IFERROR(GETPIVOTDATA("I skolan pratar vi om att alla är lika mycket värda ",pivot!$A$175,"År",2022),)</f>
        <v>95</v>
      </c>
      <c r="L148" s="46">
        <f>IFERROR(GETPIVOTDATA("I skolan pratar vi om att alla är lika mycket värda ",pivot!$A$175,"År",2023),)</f>
        <v>89</v>
      </c>
      <c r="M148" s="36">
        <v>89</v>
      </c>
      <c r="N148" s="8"/>
      <c r="O148" s="8"/>
      <c r="P148" s="8"/>
      <c r="Q148" s="8"/>
      <c r="R148" s="8"/>
      <c r="S148" s="8"/>
      <c r="T148" s="8"/>
      <c r="U148" s="8"/>
      <c r="V148" s="8"/>
      <c r="W148" s="8"/>
    </row>
    <row r="149" spans="2:23" ht="14.5" x14ac:dyDescent="0.35">
      <c r="D149" s="18"/>
      <c r="E149" s="18"/>
      <c r="F149" s="18"/>
      <c r="G149" s="18"/>
      <c r="H149" s="18"/>
      <c r="I149" s="18"/>
      <c r="J149" s="18"/>
      <c r="K149" s="18"/>
      <c r="L149" s="18"/>
      <c r="M149" s="18"/>
      <c r="N149" s="8"/>
      <c r="O149" s="8"/>
      <c r="P149" s="8"/>
      <c r="Q149" s="8"/>
      <c r="R149" s="8"/>
      <c r="S149" s="8"/>
      <c r="T149" s="8"/>
      <c r="U149" s="8"/>
      <c r="V149" s="8"/>
      <c r="W149" s="8"/>
    </row>
    <row r="150" spans="2:23" ht="14.5" x14ac:dyDescent="0.35">
      <c r="D150" s="18"/>
      <c r="E150" s="18"/>
      <c r="F150" s="18"/>
      <c r="G150" s="18"/>
      <c r="H150" s="18"/>
      <c r="I150" s="9"/>
      <c r="K150" s="9"/>
      <c r="L150" s="9"/>
      <c r="M150" s="9"/>
      <c r="N150" s="8"/>
      <c r="O150" s="8"/>
      <c r="P150" s="8"/>
      <c r="Q150" s="8"/>
      <c r="R150" s="8"/>
      <c r="S150" s="8"/>
      <c r="T150" s="8"/>
      <c r="U150" s="8"/>
      <c r="V150" s="8"/>
      <c r="W150" s="8"/>
    </row>
    <row r="151" spans="2:23" ht="10.5" customHeight="1" x14ac:dyDescent="0.35">
      <c r="D151" s="18"/>
      <c r="E151" s="18"/>
      <c r="F151" s="18"/>
      <c r="G151" s="18"/>
      <c r="H151" s="18"/>
      <c r="I151" s="9"/>
      <c r="K151" s="9"/>
      <c r="L151" s="9"/>
      <c r="M151" s="9"/>
      <c r="N151" s="8"/>
      <c r="O151" s="8"/>
      <c r="P151" s="8"/>
      <c r="Q151" s="8"/>
      <c r="R151" s="8"/>
      <c r="S151" s="8"/>
      <c r="T151" s="8"/>
      <c r="U151" s="8"/>
      <c r="V151" s="8"/>
      <c r="W151" s="8"/>
    </row>
    <row r="152" spans="2:23" ht="15.5" x14ac:dyDescent="0.35">
      <c r="B152" s="124" t="s">
        <v>58</v>
      </c>
      <c r="C152" s="27"/>
      <c r="D152" s="18"/>
      <c r="E152" s="18"/>
      <c r="F152" s="18"/>
      <c r="G152" s="18"/>
      <c r="H152" s="18"/>
      <c r="I152" s="18"/>
      <c r="J152" s="18"/>
      <c r="K152" s="18"/>
      <c r="L152" s="18"/>
      <c r="M152" s="18"/>
      <c r="N152" s="8"/>
      <c r="O152" s="8"/>
      <c r="P152" s="8"/>
      <c r="Q152" s="8"/>
      <c r="R152" s="8"/>
      <c r="S152" s="8"/>
      <c r="T152" s="8"/>
      <c r="U152" s="8"/>
      <c r="V152" s="8"/>
      <c r="W152" s="8"/>
    </row>
    <row r="153" spans="2:23" ht="14.5" x14ac:dyDescent="0.35">
      <c r="B153" s="42"/>
      <c r="C153" s="42"/>
      <c r="D153" s="18"/>
      <c r="E153" s="18"/>
      <c r="F153" s="18"/>
      <c r="G153" s="18"/>
      <c r="I153" s="151"/>
      <c r="J153" s="151"/>
      <c r="K153" s="151"/>
      <c r="L153" s="150" t="str">
        <f>$G$7</f>
        <v>(Alla)</v>
      </c>
      <c r="M153" s="177" t="s">
        <v>6</v>
      </c>
      <c r="N153" s="8"/>
      <c r="O153" s="8"/>
      <c r="P153" s="8"/>
      <c r="Q153" s="8"/>
      <c r="R153" s="8"/>
      <c r="S153" s="8"/>
      <c r="T153" s="8"/>
      <c r="U153" s="8"/>
      <c r="V153" s="8"/>
      <c r="W153" s="8"/>
    </row>
    <row r="154" spans="2:23" ht="14.5" x14ac:dyDescent="0.35">
      <c r="B154" s="29"/>
      <c r="C154" s="29"/>
      <c r="D154" s="30"/>
      <c r="E154" s="30"/>
      <c r="F154" s="30"/>
      <c r="G154" s="30"/>
      <c r="H154" s="30">
        <v>2019</v>
      </c>
      <c r="I154" s="30">
        <v>2020</v>
      </c>
      <c r="J154" s="30">
        <v>2021</v>
      </c>
      <c r="K154" s="93">
        <v>2022</v>
      </c>
      <c r="L154" s="31">
        <v>2023</v>
      </c>
      <c r="M154" s="30">
        <v>2023</v>
      </c>
      <c r="N154" s="8"/>
      <c r="O154" s="8"/>
      <c r="P154" s="8"/>
      <c r="Q154" s="8"/>
      <c r="R154" s="8"/>
      <c r="S154" s="8"/>
      <c r="T154" s="8"/>
      <c r="U154" s="8"/>
      <c r="V154" s="8"/>
      <c r="W154" s="8"/>
    </row>
    <row r="155" spans="2:23" ht="14.5" x14ac:dyDescent="0.35">
      <c r="B155" s="32" t="s">
        <v>46</v>
      </c>
      <c r="C155" s="32"/>
      <c r="D155" s="43"/>
      <c r="E155" s="43"/>
      <c r="F155" s="43"/>
      <c r="G155" s="43"/>
      <c r="H155" s="43">
        <f>IFERROR(IF(H$162&lt;7,,((GETPIVOTDATA("Vi brukar prata om hur vi ska bemöta varandra",pivot!$I$186,"År",2019,"Vi brukar prata om hur vi ska bemöta varandra",1)))),)</f>
        <v>2.5316455696202531E-2</v>
      </c>
      <c r="I155" s="43">
        <f>IFERROR(IF(I$162&lt;7,,((GETPIVOTDATA("Vi brukar prata om hur vi ska bemöta varandra",pivot!$I$186,"År",2020,"Vi brukar prata om hur vi ska bemöta varandra",1)))),)</f>
        <v>2.1739130434782608E-2</v>
      </c>
      <c r="J155" s="43">
        <f>IFERROR(IF(J$162&lt;7,,((GETPIVOTDATA("Vi brukar prata om hur vi ska bemöta varandra",pivot!$I$186,"År",2021,"Vi brukar prata om hur vi ska bemöta varandra",1)))),)</f>
        <v>3.2258064516129031E-2</v>
      </c>
      <c r="K155" s="166">
        <f>IFERROR(IF(K$162&lt;7,,((GETPIVOTDATA("Vi brukar prata om hur vi ska bemöta varandra",pivot!$I$186,"År",2022,"Vi brukar prata om hur vi ska bemöta varandra",1)))),)</f>
        <v>0</v>
      </c>
      <c r="L155" s="44">
        <f>IFERROR(IF(L$162&lt;7,,((GETPIVOTDATA("Vi brukar prata om hur vi ska bemöta varandra",pivot!$I$186,"År",2023,"Vi brukar prata om hur vi ska bemöta varandra",1)))),)</f>
        <v>1.1494252873563218E-2</v>
      </c>
      <c r="M155" s="149">
        <v>1.1494252873563218E-2</v>
      </c>
      <c r="N155" s="8"/>
      <c r="O155" s="8"/>
      <c r="P155" s="8"/>
      <c r="Q155" s="8"/>
      <c r="R155" s="8"/>
      <c r="S155" s="8"/>
      <c r="T155" s="8"/>
      <c r="U155" s="8"/>
      <c r="V155" s="8"/>
      <c r="W155" s="8"/>
    </row>
    <row r="156" spans="2:23" ht="14.5" x14ac:dyDescent="0.35">
      <c r="B156" s="35">
        <v>2</v>
      </c>
      <c r="C156" s="35"/>
      <c r="D156" s="43"/>
      <c r="E156" s="43"/>
      <c r="F156" s="43"/>
      <c r="G156" s="43"/>
      <c r="H156" s="43">
        <f>IFERROR(IF(H$162&lt;7,,((GETPIVOTDATA("Vi brukar prata om hur vi ska bemöta varandra",pivot!$I$186,"År",2019,"Vi brukar prata om hur vi ska bemöta varandra",2)))),)</f>
        <v>0</v>
      </c>
      <c r="I156" s="43">
        <f>IFERROR(IF(I$162&lt;7,,((GETPIVOTDATA("Vi brukar prata om hur vi ska bemöta varandra",pivot!$I$186,"År",2020,"Vi brukar prata om hur vi ska bemöta varandra",2)))),)</f>
        <v>2.1739130434782608E-2</v>
      </c>
      <c r="J156" s="43">
        <f>IFERROR(IF(J$162&lt;7,,((GETPIVOTDATA("Vi brukar prata om hur vi ska bemöta varandra",pivot!$I$186,"År",2021,"Vi brukar prata om hur vi ska bemöta varandra",2)))),)</f>
        <v>2.1505376344086023E-2</v>
      </c>
      <c r="K156" s="166">
        <f>IFERROR(IF(K$162&lt;7,,((GETPIVOTDATA("Vi brukar prata om hur vi ska bemöta varandra",pivot!$I$186,"År",2022,"Vi brukar prata om hur vi ska bemöta varandra",2)))),)</f>
        <v>1.0526315789473684E-2</v>
      </c>
      <c r="L156" s="44">
        <f>IFERROR(IF(L$162&lt;7,,((GETPIVOTDATA("Vi brukar prata om hur vi ska bemöta varandra",pivot!$I$186,"År",2023,"Vi brukar prata om hur vi ska bemöta varandra",2)))),)</f>
        <v>0</v>
      </c>
      <c r="M156" s="149">
        <v>0</v>
      </c>
      <c r="N156" s="8"/>
      <c r="O156" s="8"/>
      <c r="P156" s="8"/>
      <c r="Q156" s="8"/>
      <c r="R156" s="8"/>
      <c r="S156" s="8"/>
      <c r="T156" s="8"/>
      <c r="U156" s="8"/>
      <c r="V156" s="8"/>
      <c r="W156" s="8"/>
    </row>
    <row r="157" spans="2:23" ht="14.5" x14ac:dyDescent="0.35">
      <c r="B157" s="35">
        <v>3</v>
      </c>
      <c r="C157" s="35"/>
      <c r="D157" s="43"/>
      <c r="E157" s="43"/>
      <c r="F157" s="43"/>
      <c r="G157" s="43"/>
      <c r="H157" s="43">
        <f>IFERROR(IF(H$162&lt;7,,((GETPIVOTDATA("Vi brukar prata om hur vi ska bemöta varandra",pivot!$I$186,"År",2019,"Vi brukar prata om hur vi ska bemöta varandra",3)))),)</f>
        <v>0.189873417721519</v>
      </c>
      <c r="I157" s="43">
        <f>IFERROR(IF(I$162&lt;7,,((GETPIVOTDATA("Vi brukar prata om hur vi ska bemöta varandra",pivot!$I$186,"År",2020,"Vi brukar prata om hur vi ska bemöta varandra",3)))),)</f>
        <v>0.22826086956521738</v>
      </c>
      <c r="J157" s="43">
        <f>IFERROR(IF(J$162&lt;7,,((GETPIVOTDATA("Vi brukar prata om hur vi ska bemöta varandra",pivot!$I$186,"År",2021,"Vi brukar prata om hur vi ska bemöta varandra",3)))),)</f>
        <v>0.24731182795698925</v>
      </c>
      <c r="K157" s="166">
        <f>IFERROR(IF(K$162&lt;7,,((GETPIVOTDATA("Vi brukar prata om hur vi ska bemöta varandra",pivot!$I$186,"År",2022,"Vi brukar prata om hur vi ska bemöta varandra",3)))),)</f>
        <v>0.15789473684210525</v>
      </c>
      <c r="L157" s="44">
        <f>IFERROR(IF(L$162&lt;7,,((GETPIVOTDATA("Vi brukar prata om hur vi ska bemöta varandra",pivot!$I$186,"År",2023,"Vi brukar prata om hur vi ska bemöta varandra",3)))),)</f>
        <v>0.17241379310344829</v>
      </c>
      <c r="M157" s="149">
        <v>0.17241379310344829</v>
      </c>
      <c r="N157" s="8"/>
      <c r="O157" s="8"/>
      <c r="P157" s="8"/>
      <c r="Q157" s="8"/>
      <c r="R157" s="8"/>
      <c r="S157" s="8"/>
      <c r="T157" s="8"/>
      <c r="U157" s="8"/>
      <c r="V157" s="8"/>
      <c r="W157" s="8"/>
    </row>
    <row r="158" spans="2:23" ht="14.5" x14ac:dyDescent="0.35">
      <c r="B158" s="35" t="s">
        <v>47</v>
      </c>
      <c r="C158" s="32"/>
      <c r="D158" s="43"/>
      <c r="E158" s="43"/>
      <c r="F158" s="43"/>
      <c r="G158" s="43"/>
      <c r="H158" s="43">
        <f>IFERROR(IF(H$162&lt;7,,((GETPIVOTDATA("Vi brukar prata om hur vi ska bemöta varandra",pivot!$I$186,"År",2019,"Vi brukar prata om hur vi ska bemöta varandra",4)))),)</f>
        <v>0.78481012658227844</v>
      </c>
      <c r="I158" s="43">
        <f>IFERROR(IF(I$162&lt;7,,((GETPIVOTDATA("Vi brukar prata om hur vi ska bemöta varandra",pivot!$I$186,"År",2020,"Vi brukar prata om hur vi ska bemöta varandra",4)))),)</f>
        <v>0.68478260869565222</v>
      </c>
      <c r="J158" s="43">
        <f>IFERROR(IF(J$162&lt;7,,((GETPIVOTDATA("Vi brukar prata om hur vi ska bemöta varandra",pivot!$I$186,"År",2021,"Vi brukar prata om hur vi ska bemöta varandra",4)))),)</f>
        <v>0.64516129032258063</v>
      </c>
      <c r="K158" s="166">
        <f>IFERROR(IF(K$162&lt;7,,((GETPIVOTDATA("Vi brukar prata om hur vi ska bemöta varandra",pivot!$I$186,"År",2022,"Vi brukar prata om hur vi ska bemöta varandra",4)))),)</f>
        <v>0.81052631578947365</v>
      </c>
      <c r="L158" s="44">
        <f>IFERROR(IF(L$162&lt;7,,((GETPIVOTDATA("Vi brukar prata om hur vi ska bemöta varandra",pivot!$I$186,"År",2023,"Vi brukar prata om hur vi ska bemöta varandra",4)))),)</f>
        <v>0.7931034482758621</v>
      </c>
      <c r="M158" s="149">
        <v>0.7931034482758621</v>
      </c>
      <c r="N158" s="8"/>
      <c r="O158" s="8"/>
      <c r="P158" s="8"/>
      <c r="Q158" s="8"/>
      <c r="R158" s="8"/>
      <c r="S158" s="8"/>
      <c r="T158" s="8"/>
      <c r="U158" s="8"/>
      <c r="V158" s="8"/>
      <c r="W158" s="8"/>
    </row>
    <row r="159" spans="2:23" ht="14.5" x14ac:dyDescent="0.35">
      <c r="B159" s="35" t="s">
        <v>2</v>
      </c>
      <c r="C159" s="32"/>
      <c r="D159" s="43"/>
      <c r="E159" s="43"/>
      <c r="F159" s="43"/>
      <c r="G159" s="43"/>
      <c r="H159" s="43">
        <f>IFERROR(IF(H$162&lt;7,,((GETPIVOTDATA("Vi brukar prata om hur vi ska bemöta varandra",pivot!$I$186,"År",2019,"Vi brukar prata om hur vi ska bemöta varandra",5)))),)</f>
        <v>0</v>
      </c>
      <c r="I159" s="43">
        <f>IFERROR(IF(I$162&lt;7,,((GETPIVOTDATA("Vi brukar prata om hur vi ska bemöta varandra",pivot!$I$186,"År",2020,"Vi brukar prata om hur vi ska bemöta varandra",5)))),)</f>
        <v>4.3478260869565216E-2</v>
      </c>
      <c r="J159" s="43">
        <f>IFERROR(IF(J$162&lt;7,,((GETPIVOTDATA("Vi brukar prata om hur vi ska bemöta varandra",pivot!$I$186,"År",2021,"Vi brukar prata om hur vi ska bemöta varandra",5)))),)</f>
        <v>5.3763440860215055E-2</v>
      </c>
      <c r="K159" s="166">
        <f>IFERROR(IF(K$162&lt;7,,((GETPIVOTDATA("Vi brukar prata om hur vi ska bemöta varandra",pivot!$I$186,"År",2022,"Vi brukar prata om hur vi ska bemöta varandra",5)))),)</f>
        <v>2.1052631578947368E-2</v>
      </c>
      <c r="L159" s="44">
        <f>IFERROR(IF(L$162&lt;7,,((GETPIVOTDATA("Vi brukar prata om hur vi ska bemöta varandra",pivot!$I$186,"År",2023,"Vi brukar prata om hur vi ska bemöta varandra",5)))),)</f>
        <v>2.2988505747126436E-2</v>
      </c>
      <c r="M159" s="149">
        <v>2.2988505747126436E-2</v>
      </c>
      <c r="N159" s="8"/>
      <c r="O159" s="8"/>
      <c r="P159" s="8"/>
      <c r="Q159" s="8"/>
      <c r="R159" s="8"/>
      <c r="S159" s="8"/>
      <c r="T159" s="8"/>
      <c r="U159" s="8"/>
      <c r="V159" s="8"/>
      <c r="W159" s="8"/>
    </row>
    <row r="160" spans="2:23" ht="14.5" x14ac:dyDescent="0.35">
      <c r="B160" s="32" t="s">
        <v>6</v>
      </c>
      <c r="C160" s="32"/>
      <c r="D160" s="43"/>
      <c r="E160" s="43"/>
      <c r="F160" s="43"/>
      <c r="G160" s="43"/>
      <c r="H160" s="43">
        <f>IFERROR(SUM(H155:H159),"-")</f>
        <v>1</v>
      </c>
      <c r="I160" s="43">
        <f>IFERROR(SUM(I155:I159),"-")</f>
        <v>1</v>
      </c>
      <c r="J160" s="43">
        <f>IFERROR(SUM(J155:J159),"-")</f>
        <v>1</v>
      </c>
      <c r="K160" s="166">
        <f>IFERROR(SUM(K155:K159),"-")</f>
        <v>0.99999999999999989</v>
      </c>
      <c r="L160" s="44">
        <f>IFERROR(SUM(L155:L159),"-")</f>
        <v>1</v>
      </c>
      <c r="M160" s="149">
        <v>1</v>
      </c>
      <c r="N160" s="8"/>
      <c r="O160" s="8"/>
      <c r="P160" s="8"/>
      <c r="Q160" s="8"/>
      <c r="R160" s="8"/>
      <c r="S160" s="8"/>
      <c r="T160" s="8"/>
      <c r="U160" s="8"/>
      <c r="V160" s="8"/>
      <c r="W160" s="8"/>
    </row>
    <row r="161" spans="2:27" ht="12.75" customHeight="1" x14ac:dyDescent="0.35">
      <c r="B161" s="103" t="s">
        <v>7</v>
      </c>
      <c r="C161" s="104"/>
      <c r="D161" s="104"/>
      <c r="E161" s="104"/>
      <c r="F161" s="104"/>
      <c r="G161" s="104"/>
      <c r="H161" s="105">
        <f>IFERROR(IF(H$162&lt;7,,((GETPIVOTDATA("Vi brukar prata om hur vi ska bemöta varandra",pivot!$P$186,"År",2019)))),)</f>
        <v>3.7341772151898733</v>
      </c>
      <c r="I161" s="105">
        <f>IFERROR(IF(I$162&lt;7,,((GETPIVOTDATA("Vi brukar prata om hur vi ska bemöta varandra",pivot!$P$186,"År",2020)))),)</f>
        <v>3.6477272727272729</v>
      </c>
      <c r="J161" s="105">
        <f>IFERROR(IF(J$162&lt;7,,((GETPIVOTDATA("Vi brukar prata om hur vi ska bemöta varandra",pivot!$P$186,"År",2021)))),)</f>
        <v>3.5909090909090908</v>
      </c>
      <c r="K161" s="165">
        <f>IFERROR(IF(K$162&lt;7,,((GETPIVOTDATA("Vi brukar prata om hur vi ska bemöta varandra",pivot!$P$186,"År",2022)))),)</f>
        <v>3.817204301075269</v>
      </c>
      <c r="L161" s="148">
        <f>IFERROR(IF(L$162&lt;7,,((GETPIVOTDATA("Vi brukar prata om hur vi ska bemöta varandra",pivot!$P$186,"År",2023)))),)</f>
        <v>3.7882352941176469</v>
      </c>
      <c r="M161" s="104">
        <v>3.7882352941176469</v>
      </c>
      <c r="N161" s="8"/>
      <c r="O161" s="8"/>
      <c r="P161" s="8"/>
      <c r="Q161" s="8"/>
      <c r="R161" s="8"/>
      <c r="S161" s="8"/>
      <c r="T161" s="8"/>
      <c r="U161" s="8"/>
      <c r="V161" s="8"/>
      <c r="W161" s="8"/>
    </row>
    <row r="162" spans="2:27" ht="14.25" customHeight="1" x14ac:dyDescent="0.35">
      <c r="B162" s="32" t="s">
        <v>8</v>
      </c>
      <c r="C162" s="32"/>
      <c r="D162" s="45"/>
      <c r="E162" s="45"/>
      <c r="F162" s="45"/>
      <c r="G162" s="45"/>
      <c r="H162" s="45">
        <f>IFERROR(GETPIVOTDATA("Vi brukar prata om hur vi ska bemöta varandra",pivot!$A$186,"År",2019),)</f>
        <v>79</v>
      </c>
      <c r="I162" s="45">
        <f>IFERROR(GETPIVOTDATA("Vi brukar prata om hur vi ska bemöta varandra",pivot!$A$186,"År",2020),)</f>
        <v>92</v>
      </c>
      <c r="J162" s="45">
        <f>IFERROR(GETPIVOTDATA("Vi brukar prata om hur vi ska bemöta varandra",pivot!$A$186,"År",2021),)</f>
        <v>93</v>
      </c>
      <c r="K162" s="167">
        <f>IFERROR(GETPIVOTDATA("Vi brukar prata om hur vi ska bemöta varandra",pivot!$A$186,"År",2022),)</f>
        <v>95</v>
      </c>
      <c r="L162" s="46">
        <f>IFERROR(GETPIVOTDATA("Vi brukar prata om hur vi ska bemöta varandra",pivot!$A$186,"År",2023),)</f>
        <v>87</v>
      </c>
      <c r="M162" s="36">
        <v>87</v>
      </c>
      <c r="N162" s="8"/>
      <c r="O162" s="8"/>
      <c r="P162" s="8"/>
      <c r="Q162" s="8"/>
      <c r="R162" s="8"/>
      <c r="S162" s="8"/>
      <c r="T162" s="8"/>
      <c r="U162" s="8"/>
      <c r="V162" s="8"/>
      <c r="W162" s="8"/>
    </row>
    <row r="163" spans="2:27" ht="14.5" x14ac:dyDescent="0.35">
      <c r="C163" s="9"/>
      <c r="F163" s="17"/>
      <c r="H163" s="17"/>
      <c r="I163" s="17"/>
      <c r="J163" s="17"/>
      <c r="L163" s="17"/>
      <c r="M163" s="18"/>
      <c r="N163" s="8"/>
      <c r="O163" s="8"/>
      <c r="P163" s="8"/>
      <c r="Q163" s="8"/>
      <c r="R163" s="8"/>
      <c r="S163" s="8"/>
      <c r="T163" s="8"/>
      <c r="U163" s="8"/>
      <c r="V163" s="8"/>
      <c r="W163" s="8"/>
    </row>
    <row r="164" spans="2:27" ht="10.5" customHeight="1" x14ac:dyDescent="0.35">
      <c r="B164" s="8"/>
      <c r="C164" s="8"/>
      <c r="D164" s="8"/>
      <c r="E164" s="8"/>
      <c r="F164" s="8"/>
      <c r="H164" s="8"/>
      <c r="I164" s="8"/>
      <c r="J164" s="8"/>
      <c r="K164" s="65"/>
      <c r="L164" s="8"/>
      <c r="M164" s="91"/>
      <c r="N164" s="8"/>
      <c r="O164" s="8"/>
      <c r="P164" s="8"/>
      <c r="Q164" s="8"/>
      <c r="R164" s="8"/>
      <c r="S164" s="8"/>
      <c r="T164" s="8"/>
      <c r="U164" s="8"/>
      <c r="V164" s="8"/>
      <c r="W164" s="8"/>
    </row>
    <row r="165" spans="2:27" ht="15.5" x14ac:dyDescent="0.35">
      <c r="B165" s="124" t="s">
        <v>59</v>
      </c>
      <c r="C165" s="8"/>
      <c r="D165" s="8"/>
      <c r="E165" s="8"/>
      <c r="F165" s="8"/>
      <c r="H165" s="8"/>
      <c r="I165" s="8"/>
      <c r="J165" s="8"/>
      <c r="K165" s="65"/>
      <c r="L165" s="8"/>
      <c r="M165" s="91"/>
      <c r="N165" s="8"/>
      <c r="O165" s="8"/>
      <c r="P165" s="8"/>
      <c r="Q165" s="8"/>
      <c r="R165" s="8"/>
      <c r="S165" s="8"/>
      <c r="T165" s="8"/>
      <c r="U165" s="8"/>
      <c r="V165" s="8"/>
      <c r="W165" s="8"/>
    </row>
    <row r="166" spans="2:27" ht="14.5" x14ac:dyDescent="0.35">
      <c r="B166" s="42"/>
      <c r="C166" s="49"/>
      <c r="D166" s="49"/>
      <c r="E166" s="49"/>
      <c r="F166" s="50"/>
      <c r="I166" s="151"/>
      <c r="J166" s="151"/>
      <c r="K166" s="15"/>
      <c r="L166" s="150" t="str">
        <f>$G$7</f>
        <v>(Alla)</v>
      </c>
      <c r="M166" s="177" t="s">
        <v>6</v>
      </c>
      <c r="N166" s="8"/>
      <c r="O166" s="8"/>
      <c r="P166" s="8"/>
      <c r="Q166" s="8"/>
      <c r="R166" s="8"/>
      <c r="S166" s="8"/>
      <c r="T166" s="8"/>
      <c r="U166" s="8"/>
      <c r="V166" s="8"/>
      <c r="W166" s="8"/>
    </row>
    <row r="167" spans="2:27" ht="14.5" x14ac:dyDescent="0.35">
      <c r="C167" s="18"/>
      <c r="D167" s="18"/>
      <c r="E167" s="18"/>
      <c r="F167" s="18"/>
      <c r="G167" s="18"/>
      <c r="H167" s="18">
        <v>2019</v>
      </c>
      <c r="I167" s="18">
        <v>2020</v>
      </c>
      <c r="J167" s="18">
        <v>2021</v>
      </c>
      <c r="K167" s="9">
        <v>2022</v>
      </c>
      <c r="L167" s="155">
        <v>2023</v>
      </c>
      <c r="M167" s="30">
        <v>2023</v>
      </c>
      <c r="N167" s="8"/>
      <c r="O167" s="8"/>
      <c r="P167" s="8"/>
      <c r="Q167" s="8"/>
      <c r="R167" s="8"/>
      <c r="S167" s="8"/>
      <c r="T167" s="8"/>
      <c r="U167" s="8"/>
      <c r="V167" s="8"/>
      <c r="W167" s="8"/>
    </row>
    <row r="168" spans="2:27" ht="14.5" x14ac:dyDescent="0.35">
      <c r="B168" s="77" t="s">
        <v>46</v>
      </c>
      <c r="C168" s="78"/>
      <c r="D168" s="78"/>
      <c r="E168" s="78"/>
      <c r="F168" s="78"/>
      <c r="G168" s="78"/>
      <c r="H168" s="78">
        <f>IFERROR(IF(H$175&lt;7,,((GETPIVOTDATA("Ingen i skolan gör skillnad på tjejer eller killar",pivot!$I$197,"År",2019,"Ingen i skolan gör skillnad på tjejer eller killar",1)))),)</f>
        <v>1.2658227848101266E-2</v>
      </c>
      <c r="I168" s="78">
        <f>IFERROR(IF(I$175&lt;7,,((GETPIVOTDATA("Ingen i skolan gör skillnad på tjejer eller killar",pivot!$I$197,"År",2020,"Ingen i skolan gör skillnad på tjejer eller killar",1)))),)</f>
        <v>2.1276595744680851E-2</v>
      </c>
      <c r="J168" s="78">
        <f>IFERROR(IF(J$175&lt;7,,((GETPIVOTDATA("Ingen i skolan gör skillnad på tjejer eller killar",pivot!$I$197,"År",2021,"Ingen i skolan gör skillnad på tjejer eller killar",1)))),)</f>
        <v>2.1739130434782608E-2</v>
      </c>
      <c r="K168" s="168">
        <f>IFERROR(IF(K$175&lt;7,,((GETPIVOTDATA("Ingen i skolan gör skillnad på tjejer eller killar",pivot!$I$197,"År",2022,"Ingen i skolan gör skillnad på tjejer eller killar",1)))),)</f>
        <v>1.0416666666666666E-2</v>
      </c>
      <c r="L168" s="156">
        <f>IFERROR(IF(L$175&lt;7,,((GETPIVOTDATA("Ingen i skolan gör skillnad på tjejer eller killar",pivot!$I$197,"År",2023,"Ingen i skolan gör skillnad på tjejer eller killar",1)))),)</f>
        <v>0</v>
      </c>
      <c r="M168" s="78">
        <v>0</v>
      </c>
      <c r="N168" s="8"/>
      <c r="O168" s="8"/>
      <c r="P168" s="8"/>
      <c r="Q168" s="8"/>
      <c r="R168" s="8"/>
      <c r="S168" s="8"/>
      <c r="T168" s="8"/>
      <c r="U168" s="8"/>
      <c r="V168" s="8"/>
      <c r="W168" s="8"/>
    </row>
    <row r="169" spans="2:27" ht="14.5" x14ac:dyDescent="0.35">
      <c r="B169" s="35">
        <v>2</v>
      </c>
      <c r="C169" s="33"/>
      <c r="D169" s="33"/>
      <c r="E169" s="33"/>
      <c r="F169" s="33"/>
      <c r="G169" s="33"/>
      <c r="H169" s="33">
        <f>IFERROR(IF(H$175&lt;7,,((GETPIVOTDATA("Ingen i skolan gör skillnad på tjejer eller killar",pivot!$I$197,"År",2019,"Ingen i skolan gör skillnad på tjejer eller killar",2)))),)</f>
        <v>3.7974683544303799E-2</v>
      </c>
      <c r="I169" s="33">
        <f>IFERROR(IF(I$175&lt;7,,((GETPIVOTDATA("Ingen i skolan gör skillnad på tjejer eller killar",pivot!$I$197,"År",2020,"Ingen i skolan gör skillnad på tjejer eller killar",2)))),)</f>
        <v>3.1914893617021274E-2</v>
      </c>
      <c r="J169" s="33">
        <f>IFERROR(IF(J$175&lt;7,,((GETPIVOTDATA("Ingen i skolan gör skillnad på tjejer eller killar",pivot!$I$197,"År",2021,"Ingen i skolan gör skillnad på tjejer eller killar",2)))),)</f>
        <v>1.0869565217391304E-2</v>
      </c>
      <c r="K169" s="79">
        <f>IFERROR(IF(K$175&lt;7,,((GETPIVOTDATA("Ingen i skolan gör skillnad på tjejer eller killar",pivot!$I$197,"År",2022,"Ingen i skolan gör skillnad på tjejer eller killar",2)))),)</f>
        <v>0</v>
      </c>
      <c r="L169" s="34">
        <f>IFERROR(IF(L$175&lt;7,,((GETPIVOTDATA("Ingen i skolan gör skillnad på tjejer eller killar",pivot!$I$197,"År",2023,"Ingen i skolan gör skillnad på tjejer eller killar",2)))),)</f>
        <v>0</v>
      </c>
      <c r="M169" s="33">
        <v>0</v>
      </c>
      <c r="N169" s="8"/>
      <c r="O169" s="8"/>
      <c r="P169" s="8"/>
      <c r="Q169" s="8"/>
      <c r="R169" s="8"/>
      <c r="S169" s="8"/>
      <c r="T169" s="8"/>
      <c r="U169" s="8"/>
      <c r="V169" s="8"/>
      <c r="W169" s="8"/>
    </row>
    <row r="170" spans="2:27" ht="14.5" x14ac:dyDescent="0.35">
      <c r="B170" s="35">
        <v>3</v>
      </c>
      <c r="C170" s="33"/>
      <c r="D170" s="33"/>
      <c r="E170" s="33"/>
      <c r="F170" s="33"/>
      <c r="G170" s="33"/>
      <c r="H170" s="33">
        <f>IFERROR(IF(H$175&lt;7,,((GETPIVOTDATA("Ingen i skolan gör skillnad på tjejer eller killar",pivot!$I$197,"År",2019,"Ingen i skolan gör skillnad på tjejer eller killar",3)))),)</f>
        <v>0.16455696202531644</v>
      </c>
      <c r="I170" s="33">
        <f>IFERROR(IF(I$175&lt;7,,((GETPIVOTDATA("Ingen i skolan gör skillnad på tjejer eller killar",pivot!$I$197,"År",2020,"Ingen i skolan gör skillnad på tjejer eller killar",3)))),)</f>
        <v>0.1702127659574468</v>
      </c>
      <c r="J170" s="33">
        <f>IFERROR(IF(J$175&lt;7,,((GETPIVOTDATA("Ingen i skolan gör skillnad på tjejer eller killar",pivot!$I$197,"År",2021,"Ingen i skolan gör skillnad på tjejer eller killar",3)))),)</f>
        <v>0.19565217391304349</v>
      </c>
      <c r="K170" s="79">
        <f>IFERROR(IF(K$175&lt;7,,((GETPIVOTDATA("Ingen i skolan gör skillnad på tjejer eller killar",pivot!$I$197,"År",2022,"Ingen i skolan gör skillnad på tjejer eller killar",3)))),)</f>
        <v>0.14583333333333334</v>
      </c>
      <c r="L170" s="34">
        <f>IFERROR(IF(L$175&lt;7,,((GETPIVOTDATA("Ingen i skolan gör skillnad på tjejer eller killar",pivot!$I$197,"År",2023,"Ingen i skolan gör skillnad på tjejer eller killar",3)))),)</f>
        <v>0.18390804597701149</v>
      </c>
      <c r="M170" s="33">
        <v>0.18390804597701149</v>
      </c>
      <c r="N170" s="8"/>
      <c r="O170" s="8"/>
      <c r="P170" s="8"/>
      <c r="Q170" s="8"/>
      <c r="R170" s="8"/>
      <c r="S170" s="8"/>
      <c r="T170" s="8"/>
      <c r="U170" s="8"/>
      <c r="V170" s="8"/>
      <c r="W170" s="8"/>
    </row>
    <row r="171" spans="2:27" ht="14.5" x14ac:dyDescent="0.35">
      <c r="B171" s="35" t="s">
        <v>47</v>
      </c>
      <c r="C171" s="33"/>
      <c r="D171" s="33"/>
      <c r="E171" s="33"/>
      <c r="F171" s="33"/>
      <c r="G171" s="33"/>
      <c r="H171" s="33">
        <f>IFERROR(IF(H$175&lt;7,,((GETPIVOTDATA("Ingen i skolan gör skillnad på tjejer eller killar",pivot!$I$197,"År",2019,"Ingen i skolan gör skillnad på tjejer eller killar",4)))),)</f>
        <v>0.65822784810126578</v>
      </c>
      <c r="I171" s="33">
        <f>IFERROR(IF(I$175&lt;7,,((GETPIVOTDATA("Ingen i skolan gör skillnad på tjejer eller killar",pivot!$I$197,"År",2020,"Ingen i skolan gör skillnad på tjejer eller killar",4)))),)</f>
        <v>0.69148936170212771</v>
      </c>
      <c r="J171" s="33">
        <f>IFERROR(IF(J$175&lt;7,,((GETPIVOTDATA("Ingen i skolan gör skillnad på tjejer eller killar",pivot!$I$197,"År",2021,"Ingen i skolan gör skillnad på tjejer eller killar",4)))),)</f>
        <v>0.65217391304347827</v>
      </c>
      <c r="K171" s="79">
        <f>IFERROR(IF(K$175&lt;7,,((GETPIVOTDATA("Ingen i skolan gör skillnad på tjejer eller killar",pivot!$I$197,"År",2022,"Ingen i skolan gör skillnad på tjejer eller killar",4)))),)</f>
        <v>0.6875</v>
      </c>
      <c r="L171" s="34">
        <f>IFERROR(IF(L$175&lt;7,,((GETPIVOTDATA("Ingen i skolan gör skillnad på tjejer eller killar",pivot!$I$197,"År",2023,"Ingen i skolan gör skillnad på tjejer eller killar",4)))),)</f>
        <v>0.70114942528735635</v>
      </c>
      <c r="M171" s="33">
        <v>0.70114942528735635</v>
      </c>
      <c r="N171" s="8"/>
      <c r="O171" s="8"/>
      <c r="P171" s="8"/>
      <c r="Q171" s="8"/>
      <c r="R171" s="8"/>
      <c r="S171" s="8"/>
      <c r="T171" s="8"/>
      <c r="U171" s="8"/>
      <c r="V171" s="8"/>
      <c r="W171" s="8"/>
    </row>
    <row r="172" spans="2:27" ht="14.5" x14ac:dyDescent="0.35">
      <c r="B172" s="35" t="s">
        <v>2</v>
      </c>
      <c r="C172" s="33"/>
      <c r="D172" s="33"/>
      <c r="E172" s="33"/>
      <c r="F172" s="33"/>
      <c r="G172" s="33"/>
      <c r="H172" s="33">
        <f>IFERROR(IF(H$175&lt;7,,((GETPIVOTDATA("Ingen i skolan gör skillnad på tjejer eller killar",pivot!$I$197,"År",2019,"Ingen i skolan gör skillnad på tjejer eller killar",5)))),)</f>
        <v>0.12658227848101267</v>
      </c>
      <c r="I172" s="33">
        <f>IFERROR(IF(I$175&lt;7,,((GETPIVOTDATA("Ingen i skolan gör skillnad på tjejer eller killar",pivot!$I$197,"År",2020,"Ingen i skolan gör skillnad på tjejer eller killar",5)))),)</f>
        <v>8.5106382978723402E-2</v>
      </c>
      <c r="J172" s="33">
        <f>IFERROR(IF(J$175&lt;7,,((GETPIVOTDATA("Ingen i skolan gör skillnad på tjejer eller killar",pivot!$I$197,"År",2021,"Ingen i skolan gör skillnad på tjejer eller killar",5)))),)</f>
        <v>0.11956521739130435</v>
      </c>
      <c r="K172" s="79">
        <f>IFERROR(IF(K$175&lt;7,,((GETPIVOTDATA("Ingen i skolan gör skillnad på tjejer eller killar",pivot!$I$197,"År",2022,"Ingen i skolan gör skillnad på tjejer eller killar",5)))),)</f>
        <v>0.15625</v>
      </c>
      <c r="L172" s="34">
        <f>IFERROR(IF(L$175&lt;7,,((GETPIVOTDATA("Ingen i skolan gör skillnad på tjejer eller killar",pivot!$I$197,"År",2023,"Ingen i skolan gör skillnad på tjejer eller killar",5)))),)</f>
        <v>0.11494252873563218</v>
      </c>
      <c r="M172" s="33">
        <v>0.11494252873563218</v>
      </c>
      <c r="N172" s="8"/>
      <c r="O172" s="8"/>
      <c r="P172" s="8"/>
      <c r="Q172" s="8"/>
      <c r="R172" s="8"/>
      <c r="S172" s="8"/>
      <c r="T172" s="8"/>
      <c r="U172" s="8"/>
      <c r="V172" s="8"/>
      <c r="W172" s="8"/>
    </row>
    <row r="173" spans="2:27" ht="14.5" x14ac:dyDescent="0.35">
      <c r="B173" s="32" t="s">
        <v>6</v>
      </c>
      <c r="C173" s="33"/>
      <c r="D173" s="33"/>
      <c r="E173" s="33"/>
      <c r="F173" s="33"/>
      <c r="G173" s="33"/>
      <c r="H173" s="33">
        <f>IFERROR(SUM(H168:H172),"-")</f>
        <v>1</v>
      </c>
      <c r="I173" s="33">
        <f>IFERROR(SUM(I168:I172),"-")</f>
        <v>1</v>
      </c>
      <c r="J173" s="33">
        <f>IFERROR(SUM(J168:J172),"-")</f>
        <v>1</v>
      </c>
      <c r="K173" s="79">
        <f>IFERROR(SUM(K168:K172),"-")</f>
        <v>1</v>
      </c>
      <c r="L173" s="34">
        <f>IFERROR(SUM(L168:L172),"-")</f>
        <v>1</v>
      </c>
      <c r="M173" s="33">
        <v>1</v>
      </c>
      <c r="N173" s="8"/>
      <c r="O173" s="8"/>
      <c r="P173" s="8"/>
      <c r="Q173" s="8"/>
      <c r="R173" s="8"/>
      <c r="S173" s="8"/>
      <c r="T173" s="8"/>
      <c r="U173" s="8"/>
      <c r="V173" s="8"/>
      <c r="W173" s="8"/>
    </row>
    <row r="174" spans="2:27" ht="14.5" x14ac:dyDescent="0.35">
      <c r="B174" s="103" t="s">
        <v>7</v>
      </c>
      <c r="C174" s="104"/>
      <c r="D174" s="104"/>
      <c r="E174" s="104"/>
      <c r="F174" s="104"/>
      <c r="G174" s="104"/>
      <c r="H174" s="105">
        <f>IFERROR(IF(H$175&lt;7,,((GETPIVOTDATA("Ingen i skolan gör skillnad på tjejer eller killar",pivot!$P$197,"År",2019)))),)</f>
        <v>3.681159420289855</v>
      </c>
      <c r="I174" s="105">
        <f>IFERROR(IF(I$175&lt;7,,((GETPIVOTDATA("Ingen i skolan gör skillnad på tjejer eller killar",pivot!$P$197,"År",2020)))),)</f>
        <v>3.6744186046511627</v>
      </c>
      <c r="J174" s="105">
        <f>IFERROR(IF(J$175&lt;7,,((GETPIVOTDATA("Ingen i skolan gör skillnad på tjejer eller killar",pivot!$P$197,"År",2021)))),)</f>
        <v>3.6790123456790123</v>
      </c>
      <c r="K174" s="165">
        <f>IFERROR(IF(K$175&lt;7,,((GETPIVOTDATA("Ingen i skolan gör skillnad på tjejer eller killar",pivot!$P$197,"År",2022)))),)</f>
        <v>3.7901234567901234</v>
      </c>
      <c r="L174" s="148">
        <f>IFERROR(IF(L$175&lt;7,,((GETPIVOTDATA("Ingen i skolan gör skillnad på tjejer eller killar",pivot!$P$197,"År",2023)))),)</f>
        <v>3.7922077922077921</v>
      </c>
      <c r="M174" s="104">
        <v>3.7922077922077921</v>
      </c>
      <c r="N174" s="8"/>
      <c r="O174" s="8"/>
      <c r="P174" s="8"/>
      <c r="Q174" s="8"/>
      <c r="R174" s="8"/>
      <c r="S174" s="8"/>
      <c r="T174" s="8"/>
      <c r="U174" s="8"/>
    </row>
    <row r="175" spans="2:27" ht="14.5" x14ac:dyDescent="0.35">
      <c r="B175" s="32" t="s">
        <v>8</v>
      </c>
      <c r="C175" s="36"/>
      <c r="D175" s="36"/>
      <c r="E175" s="36"/>
      <c r="F175" s="36"/>
      <c r="G175" s="36"/>
      <c r="H175" s="87">
        <f>IFERROR(GETPIVOTDATA("Ingen i skolan gör skillnad på tjejer eller killar",pivot!$A$197,"År",2019),)</f>
        <v>79</v>
      </c>
      <c r="I175" s="87">
        <f>IFERROR(GETPIVOTDATA("Ingen i skolan gör skillnad på tjejer eller killar",pivot!$A$197,"År",2020),)</f>
        <v>94</v>
      </c>
      <c r="J175" s="87">
        <f>IFERROR(GETPIVOTDATA("Ingen i skolan gör skillnad på tjejer eller killar",pivot!$A$197,"År",2021),)</f>
        <v>92</v>
      </c>
      <c r="K175" s="169">
        <f>IFERROR(GETPIVOTDATA("Ingen i skolan gör skillnad på tjejer eller killar",pivot!$A$197,"År",2022),)</f>
        <v>96</v>
      </c>
      <c r="L175" s="157">
        <f>IFERROR(GETPIVOTDATA("Ingen i skolan gör skillnad på tjejer eller killar",pivot!$A$197,"År",2023),)</f>
        <v>87</v>
      </c>
      <c r="M175" s="87">
        <v>87</v>
      </c>
      <c r="N175" s="8"/>
      <c r="O175" s="8"/>
      <c r="P175" s="8"/>
      <c r="Q175" s="8"/>
      <c r="R175" s="8"/>
      <c r="S175" s="8"/>
      <c r="T175" s="8"/>
      <c r="U175" s="8"/>
      <c r="V175" s="8"/>
      <c r="W175" s="8"/>
      <c r="X175" s="8"/>
      <c r="Y175" s="8"/>
      <c r="Z175" s="8"/>
    </row>
    <row r="176" spans="2:27" ht="14.5" x14ac:dyDescent="0.35">
      <c r="B176" s="8"/>
      <c r="C176" s="8"/>
      <c r="D176" s="51"/>
      <c r="E176" s="51"/>
      <c r="F176" s="8"/>
      <c r="G176" s="8"/>
      <c r="H176" s="8"/>
      <c r="I176" s="8"/>
      <c r="J176" s="8"/>
      <c r="K176" s="65"/>
      <c r="L176" s="8"/>
      <c r="M176" s="91"/>
      <c r="N176" s="8"/>
      <c r="O176" s="8"/>
      <c r="P176" s="8"/>
      <c r="Q176" s="8"/>
      <c r="R176" s="8"/>
      <c r="S176" s="8"/>
      <c r="T176" s="8"/>
      <c r="U176" s="8"/>
      <c r="V176" s="8"/>
      <c r="W176" s="8"/>
      <c r="X176" s="8"/>
      <c r="Y176" s="8"/>
      <c r="Z176" s="8"/>
      <c r="AA176" s="8"/>
    </row>
    <row r="177" spans="2:27" ht="13.5" customHeight="1" x14ac:dyDescent="0.35">
      <c r="B177" s="8"/>
      <c r="C177" s="8"/>
      <c r="D177" s="51"/>
      <c r="E177" s="51"/>
      <c r="F177" s="8"/>
      <c r="G177" s="8"/>
      <c r="H177" s="8"/>
      <c r="I177" s="8"/>
      <c r="J177" s="8"/>
      <c r="K177" s="65"/>
      <c r="L177" s="8"/>
      <c r="M177" s="91"/>
      <c r="N177" s="8"/>
      <c r="O177" s="8"/>
      <c r="P177" s="8"/>
      <c r="Q177" s="8"/>
      <c r="R177" s="8"/>
      <c r="S177" s="8"/>
      <c r="T177" s="8"/>
      <c r="U177" s="8"/>
      <c r="V177" s="8"/>
      <c r="W177" s="8"/>
      <c r="X177" s="8"/>
      <c r="Y177" s="8"/>
      <c r="Z177" s="8"/>
      <c r="AA177" s="8"/>
    </row>
    <row r="178" spans="2:27" ht="14.5" hidden="1" x14ac:dyDescent="0.35">
      <c r="B178" s="8"/>
      <c r="C178" s="8"/>
      <c r="D178" s="51"/>
      <c r="E178" s="51"/>
      <c r="F178" s="8"/>
      <c r="G178" s="8"/>
      <c r="H178" s="8"/>
      <c r="I178" s="8"/>
      <c r="J178" s="8"/>
      <c r="K178" s="65"/>
      <c r="L178" s="8"/>
      <c r="M178" s="91"/>
      <c r="N178" s="8"/>
      <c r="O178" s="8"/>
      <c r="P178" s="8"/>
      <c r="Q178" s="8"/>
      <c r="R178" s="8"/>
      <c r="S178" s="8"/>
      <c r="T178" s="8"/>
      <c r="U178" s="8"/>
      <c r="V178" s="8"/>
      <c r="W178" s="8"/>
      <c r="X178" s="8"/>
      <c r="Y178" s="8"/>
      <c r="Z178" s="8"/>
      <c r="AA178" s="8"/>
    </row>
    <row r="179" spans="2:27" ht="15.5" x14ac:dyDescent="0.35">
      <c r="B179" s="124" t="s">
        <v>67</v>
      </c>
      <c r="C179" s="8"/>
      <c r="D179" s="8"/>
      <c r="E179" s="8"/>
      <c r="F179" s="8"/>
      <c r="G179" s="8"/>
      <c r="H179" s="8"/>
      <c r="I179" s="8"/>
      <c r="J179" s="8"/>
      <c r="K179" s="65"/>
      <c r="L179" s="8"/>
      <c r="M179" s="91"/>
      <c r="N179" s="8"/>
      <c r="O179" s="8"/>
      <c r="P179" s="8"/>
      <c r="Q179" s="8"/>
      <c r="R179" s="8"/>
      <c r="S179" s="8"/>
      <c r="T179" s="8"/>
      <c r="U179" s="8"/>
      <c r="V179" s="8"/>
      <c r="W179" s="8"/>
      <c r="X179" s="8"/>
      <c r="Y179" s="8"/>
      <c r="Z179" s="8"/>
      <c r="AA179" s="8"/>
    </row>
    <row r="180" spans="2:27" ht="14.5" x14ac:dyDescent="0.35">
      <c r="B180" s="42"/>
      <c r="C180" s="49"/>
      <c r="D180" s="49"/>
      <c r="E180" s="49"/>
      <c r="F180" s="50"/>
      <c r="G180" s="50"/>
      <c r="I180" s="151"/>
      <c r="J180" s="151"/>
      <c r="K180" s="15"/>
      <c r="L180" s="150" t="str">
        <f>$G$7</f>
        <v>(Alla)</v>
      </c>
      <c r="M180" s="109" t="s">
        <v>6</v>
      </c>
      <c r="N180" s="8"/>
      <c r="O180" s="8"/>
      <c r="P180" s="8"/>
      <c r="Q180" s="8"/>
      <c r="R180" s="8"/>
      <c r="S180" s="8"/>
      <c r="T180" s="8"/>
      <c r="U180" s="8"/>
      <c r="V180" s="8"/>
      <c r="W180" s="8"/>
      <c r="X180" s="8"/>
      <c r="Y180" s="8"/>
      <c r="Z180" s="8"/>
      <c r="AA180" s="8"/>
    </row>
    <row r="181" spans="2:27" ht="21.75" customHeight="1" x14ac:dyDescent="0.35">
      <c r="C181" s="18"/>
      <c r="D181" s="18"/>
      <c r="E181" s="18"/>
      <c r="F181" s="18"/>
      <c r="G181" s="18"/>
      <c r="H181" s="18">
        <v>2019</v>
      </c>
      <c r="I181" s="18">
        <v>2020</v>
      </c>
      <c r="J181" s="18">
        <v>2021</v>
      </c>
      <c r="K181" s="9">
        <v>2022</v>
      </c>
      <c r="L181" s="155">
        <v>2023</v>
      </c>
      <c r="M181" s="30">
        <v>2023</v>
      </c>
      <c r="N181" s="8"/>
      <c r="O181" s="8"/>
      <c r="P181" s="8"/>
      <c r="Q181" s="8"/>
      <c r="R181" s="8"/>
      <c r="S181" s="8"/>
      <c r="T181" s="8"/>
      <c r="U181" s="8"/>
      <c r="V181" s="8"/>
      <c r="W181" s="8"/>
      <c r="X181" s="8"/>
      <c r="Y181" s="8"/>
      <c r="Z181" s="8"/>
      <c r="AA181" s="8"/>
    </row>
    <row r="182" spans="2:27" ht="15" customHeight="1" x14ac:dyDescent="0.35">
      <c r="B182" s="71" t="s">
        <v>46</v>
      </c>
      <c r="C182" s="72"/>
      <c r="D182" s="72"/>
      <c r="E182" s="72"/>
      <c r="F182" s="72"/>
      <c r="G182" s="72"/>
      <c r="H182" s="72">
        <f>IFERROR(IF(H$189&lt;7,,((GETPIVOTDATA("I min skola är vi snälla och lyssnar på varandra",pivot!$I$208,"År",2019,"I min skola är vi snälla och lyssnar på varandra",1)))),)</f>
        <v>2.6315789473684209E-2</v>
      </c>
      <c r="I182" s="72">
        <f>IFERROR(IF(I$189&lt;7,,((GETPIVOTDATA("I min skola är vi snälla och lyssnar på varandra",pivot!$I$208,"År",2020,"I min skola är vi snälla och lyssnar på varandra",1)))),)</f>
        <v>4.1237113402061855E-2</v>
      </c>
      <c r="J182" s="72">
        <f>IFERROR(IF(J$189&lt;7,,((GETPIVOTDATA("I min skola är vi snälla och lyssnar på varandra",pivot!$I$208,"År",2021,"I min skola är vi snälla och lyssnar på varandra",1)))),)</f>
        <v>6.3829787234042548E-2</v>
      </c>
      <c r="K182" s="73">
        <f>IFERROR(IF(K$189&lt;7,,((GETPIVOTDATA("I min skola är vi snälla och lyssnar på varandra",pivot!$I$208,"År",2022,"I min skola är vi snälla och lyssnar på varandra",1)))),)</f>
        <v>3.1578947368421054E-2</v>
      </c>
      <c r="L182" s="89">
        <f>IFERROR(IF(L$189&lt;7,,((GETPIVOTDATA("I min skola är vi snälla och lyssnar på varandra",pivot!$I$208,"År",2023,"I min skola är vi snälla och lyssnar på varandra",1)))),)</f>
        <v>3.4090909090909088E-2</v>
      </c>
      <c r="M182" s="72">
        <v>3.4090909090909088E-2</v>
      </c>
      <c r="N182" s="8"/>
      <c r="O182" s="8"/>
      <c r="P182" s="8"/>
      <c r="Q182" s="8"/>
      <c r="R182" s="8"/>
      <c r="S182" s="8"/>
      <c r="T182" s="8"/>
      <c r="U182" s="8"/>
      <c r="V182" s="8"/>
      <c r="W182" s="8"/>
      <c r="X182" s="8"/>
      <c r="Y182" s="8"/>
      <c r="Z182" s="8"/>
      <c r="AA182" s="8"/>
    </row>
    <row r="183" spans="2:27" ht="14.5" x14ac:dyDescent="0.35">
      <c r="B183" s="74">
        <v>2</v>
      </c>
      <c r="C183" s="72"/>
      <c r="D183" s="72"/>
      <c r="E183" s="72"/>
      <c r="F183" s="72"/>
      <c r="G183" s="72"/>
      <c r="H183" s="72">
        <f>IFERROR(IF(H$189&lt;7,,((GETPIVOTDATA("I min skola är vi snälla och lyssnar på varandra",pivot!$I$208,"År",2019,"I min skola är vi snälla och lyssnar på varandra",2)))),)</f>
        <v>3.9473684210526314E-2</v>
      </c>
      <c r="I183" s="72">
        <f>IFERROR(IF(I$189&lt;7,,((GETPIVOTDATA("I min skola är vi snälla och lyssnar på varandra",pivot!$I$208,"År",2020,"I min skola är vi snälla och lyssnar på varandra",2)))),)</f>
        <v>7.2164948453608241E-2</v>
      </c>
      <c r="J183" s="72">
        <f>IFERROR(IF(J$189&lt;7,,((GETPIVOTDATA("I min skola är vi snälla och lyssnar på varandra",pivot!$I$208,"År",2021,"I min skola är vi snälla och lyssnar på varandra",2)))),)</f>
        <v>2.1276595744680851E-2</v>
      </c>
      <c r="K183" s="73">
        <f>IFERROR(IF(K$189&lt;7,,((GETPIVOTDATA("I min skola är vi snälla och lyssnar på varandra",pivot!$I$208,"År",2022,"I min skola är vi snälla och lyssnar på varandra",2)))),)</f>
        <v>3.1578947368421054E-2</v>
      </c>
      <c r="L183" s="89">
        <f>IFERROR(IF(L$189&lt;7,,((GETPIVOTDATA("I min skola är vi snälla och lyssnar på varandra",pivot!$I$208,"År",2023,"I min skola är vi snälla och lyssnar på varandra",2)))),)</f>
        <v>3.4090909090909088E-2</v>
      </c>
      <c r="M183" s="72">
        <v>3.4090909090909088E-2</v>
      </c>
      <c r="N183" s="8"/>
      <c r="O183" s="8"/>
      <c r="P183" s="8"/>
      <c r="Q183" s="8"/>
      <c r="R183" s="8"/>
      <c r="S183" s="8"/>
      <c r="T183" s="8"/>
      <c r="U183" s="8"/>
      <c r="V183" s="8"/>
      <c r="W183" s="8"/>
      <c r="X183" s="8"/>
      <c r="Y183" s="8"/>
      <c r="Z183" s="8"/>
      <c r="AA183" s="8"/>
    </row>
    <row r="184" spans="2:27" ht="14.5" x14ac:dyDescent="0.35">
      <c r="B184" s="74">
        <v>3</v>
      </c>
      <c r="C184" s="72"/>
      <c r="D184" s="72"/>
      <c r="E184" s="72"/>
      <c r="F184" s="72"/>
      <c r="G184" s="72"/>
      <c r="H184" s="72">
        <f>IFERROR(IF(H$189&lt;7,,((GETPIVOTDATA("I min skola är vi snälla och lyssnar på varandra",pivot!$I$208,"År",2019,"I min skola är vi snälla och lyssnar på varandra",3)))),)</f>
        <v>0.26315789473684209</v>
      </c>
      <c r="I184" s="72">
        <f>IFERROR(IF(I$189&lt;7,,((GETPIVOTDATA("I min skola är vi snälla och lyssnar på varandra",pivot!$I$208,"År",2020,"I min skola är vi snälla och lyssnar på varandra",3)))),)</f>
        <v>0.31958762886597936</v>
      </c>
      <c r="J184" s="72">
        <f>IFERROR(IF(J$189&lt;7,,((GETPIVOTDATA("I min skola är vi snälla och lyssnar på varandra",pivot!$I$208,"År",2021,"I min skola är vi snälla och lyssnar på varandra",3)))),)</f>
        <v>0.27659574468085107</v>
      </c>
      <c r="K184" s="73">
        <f>IFERROR(IF(K$189&lt;7,,((GETPIVOTDATA("I min skola är vi snälla och lyssnar på varandra",pivot!$I$208,"År",2022,"I min skola är vi snälla och lyssnar på varandra",3)))),)</f>
        <v>0.24210526315789474</v>
      </c>
      <c r="L184" s="89">
        <f>IFERROR(IF(L$189&lt;7,,((GETPIVOTDATA("I min skola är vi snälla och lyssnar på varandra",pivot!$I$208,"År",2023,"I min skola är vi snälla och lyssnar på varandra",3)))),)</f>
        <v>0.32954545454545453</v>
      </c>
      <c r="M184" s="72">
        <v>0.32954545454545453</v>
      </c>
      <c r="N184" s="8"/>
      <c r="O184" s="8"/>
      <c r="P184" s="8"/>
      <c r="Q184" s="8"/>
      <c r="R184" s="8"/>
      <c r="S184" s="8"/>
      <c r="T184" s="8"/>
      <c r="U184" s="8"/>
      <c r="V184" s="8"/>
      <c r="W184" s="8"/>
      <c r="X184" s="8"/>
      <c r="Y184" s="8"/>
      <c r="Z184" s="8"/>
      <c r="AA184" s="8"/>
    </row>
    <row r="185" spans="2:27" ht="14.5" x14ac:dyDescent="0.35">
      <c r="B185" s="74" t="s">
        <v>47</v>
      </c>
      <c r="C185" s="72"/>
      <c r="D185" s="72"/>
      <c r="E185" s="72"/>
      <c r="F185" s="72"/>
      <c r="G185" s="72"/>
      <c r="H185" s="72">
        <f>IFERROR(IF(H$189&lt;7,,((GETPIVOTDATA("I min skola är vi snälla och lyssnar på varandra",pivot!$I$208,"År",2019,"I min skola är vi snälla och lyssnar på varandra",4)))),)</f>
        <v>0.65789473684210531</v>
      </c>
      <c r="I185" s="72">
        <f>IFERROR(IF(I$189&lt;7,,((GETPIVOTDATA("I min skola är vi snälla och lyssnar på varandra",pivot!$I$208,"År",2020,"I min skola är vi snälla och lyssnar på varandra",4)))),)</f>
        <v>0.54639175257731953</v>
      </c>
      <c r="J185" s="72">
        <f>IFERROR(IF(J$189&lt;7,,((GETPIVOTDATA("I min skola är vi snälla och lyssnar på varandra",pivot!$I$208,"År",2021,"I min skola är vi snälla och lyssnar på varandra",4)))),)</f>
        <v>0.58510638297872342</v>
      </c>
      <c r="K185" s="73">
        <f>IFERROR(IF(K$189&lt;7,,((GETPIVOTDATA("I min skola är vi snälla och lyssnar på varandra",pivot!$I$208,"År",2022,"I min skola är vi snälla och lyssnar på varandra",4)))),)</f>
        <v>0.62105263157894741</v>
      </c>
      <c r="L185" s="89">
        <f>IFERROR(IF(L$189&lt;7,,((GETPIVOTDATA("I min skola är vi snälla och lyssnar på varandra",pivot!$I$208,"År",2023,"I min skola är vi snälla och lyssnar på varandra",4)))),)</f>
        <v>0.57954545454545459</v>
      </c>
      <c r="M185" s="72">
        <v>0.57954545454545459</v>
      </c>
      <c r="N185" s="8"/>
      <c r="O185" s="8"/>
      <c r="P185" s="8"/>
      <c r="Q185" s="8"/>
      <c r="R185" s="8"/>
      <c r="S185" s="8"/>
      <c r="T185" s="8"/>
      <c r="U185" s="8"/>
      <c r="V185" s="8"/>
      <c r="W185" s="8"/>
      <c r="X185" s="8"/>
      <c r="Y185" s="8"/>
      <c r="Z185" s="8"/>
      <c r="AA185" s="8"/>
    </row>
    <row r="186" spans="2:27" ht="14.5" x14ac:dyDescent="0.35">
      <c r="B186" s="74" t="s">
        <v>2</v>
      </c>
      <c r="C186" s="72"/>
      <c r="D186" s="72"/>
      <c r="E186" s="72"/>
      <c r="F186" s="72"/>
      <c r="G186" s="72"/>
      <c r="H186" s="72">
        <f>IFERROR(IF(H$189&lt;7,,((GETPIVOTDATA("I min skola är vi snälla och lyssnar på varandra",pivot!$I$208,"År",2019,"I min skola är vi snälla och lyssnar på varandra",5)))),)</f>
        <v>1.3157894736842105E-2</v>
      </c>
      <c r="I186" s="72">
        <f>IFERROR(IF(I$189&lt;7,,((GETPIVOTDATA("I min skola är vi snälla och lyssnar på varandra",pivot!$I$208,"År",2020,"I min skola är vi snälla och lyssnar på varandra",5)))),)</f>
        <v>2.0618556701030927E-2</v>
      </c>
      <c r="J186" s="72">
        <f>IFERROR(IF(J$189&lt;7,,((GETPIVOTDATA("I min skola är vi snälla och lyssnar på varandra",pivot!$I$208,"År",2021,"I min skola är vi snälla och lyssnar på varandra",5)))),)</f>
        <v>5.3191489361702128E-2</v>
      </c>
      <c r="K186" s="73">
        <f>IFERROR(IF(K$189&lt;7,,((GETPIVOTDATA("I min skola är vi snälla och lyssnar på varandra",pivot!$I$208,"År",2022,"I min skola är vi snälla och lyssnar på varandra",5)))),)</f>
        <v>7.3684210526315783E-2</v>
      </c>
      <c r="L186" s="89">
        <f>IFERROR(IF(L$189&lt;7,,((GETPIVOTDATA("I min skola är vi snälla och lyssnar på varandra",pivot!$I$208,"År",2023,"I min skola är vi snälla och lyssnar på varandra",5)))),)</f>
        <v>2.2727272727272728E-2</v>
      </c>
      <c r="M186" s="72">
        <v>2.2727272727272728E-2</v>
      </c>
      <c r="N186" s="8"/>
      <c r="O186" s="8"/>
      <c r="P186" s="8"/>
      <c r="Q186" s="8"/>
      <c r="R186" s="8"/>
      <c r="S186" s="8"/>
      <c r="T186" s="8"/>
      <c r="U186" s="8"/>
      <c r="V186" s="8"/>
      <c r="W186" s="8"/>
      <c r="X186" s="8"/>
      <c r="Y186" s="8"/>
      <c r="Z186" s="8"/>
      <c r="AA186" s="8"/>
    </row>
    <row r="187" spans="2:27" ht="14.5" x14ac:dyDescent="0.35">
      <c r="B187" s="71" t="s">
        <v>6</v>
      </c>
      <c r="C187" s="72"/>
      <c r="D187" s="72"/>
      <c r="E187" s="72"/>
      <c r="F187" s="72"/>
      <c r="G187" s="72"/>
      <c r="H187" s="72">
        <f>IFERROR(SUM(H182:H186),"-")</f>
        <v>1</v>
      </c>
      <c r="I187" s="72">
        <f>IFERROR(SUM(I182:I186),"-")</f>
        <v>0.99999999999999989</v>
      </c>
      <c r="J187" s="72">
        <f>IFERROR(SUM(J182:J186),"-")</f>
        <v>1</v>
      </c>
      <c r="K187" s="73">
        <f>IFERROR(SUM(K182:K186),"-")</f>
        <v>1</v>
      </c>
      <c r="L187" s="89">
        <f>IFERROR(SUM(L182:L186),"-")</f>
        <v>1</v>
      </c>
      <c r="M187" s="72">
        <v>1</v>
      </c>
      <c r="N187" s="8"/>
      <c r="O187" s="8"/>
      <c r="P187" s="8"/>
      <c r="Q187" s="8"/>
      <c r="R187" s="8"/>
      <c r="S187" s="8"/>
      <c r="T187" s="8"/>
      <c r="U187" s="8"/>
      <c r="V187" s="8"/>
      <c r="W187" s="8"/>
      <c r="X187" s="8"/>
      <c r="Y187" s="8"/>
      <c r="Z187" s="8"/>
      <c r="AA187" s="8"/>
    </row>
    <row r="188" spans="2:27" ht="14.5" x14ac:dyDescent="0.35">
      <c r="B188" s="103" t="s">
        <v>7</v>
      </c>
      <c r="C188" s="104"/>
      <c r="D188" s="104"/>
      <c r="E188" s="104"/>
      <c r="F188" s="104"/>
      <c r="G188" s="104"/>
      <c r="H188" s="105">
        <f>IFERROR(IF(H$189&lt;7,,((GETPIVOTDATA("I min skola är vi snälla och lyssnar på varandra",pivot!$P$208,"År",2019)))),)</f>
        <v>3.5733333333333333</v>
      </c>
      <c r="I188" s="105">
        <f>IFERROR(IF(I$189&lt;7,,((GETPIVOTDATA("I min skola är vi snälla och lyssnar på varandra",pivot!$P$208,"År",2020)))),)</f>
        <v>3.4</v>
      </c>
      <c r="J188" s="105">
        <f>IFERROR(IF(J$189&lt;7,,((GETPIVOTDATA("I min skola är vi snälla och lyssnar på varandra",pivot!$P$208,"År",2021)))),)</f>
        <v>3.4606741573033708</v>
      </c>
      <c r="K188" s="165">
        <f>IFERROR(IF(K$189&lt;7,,((GETPIVOTDATA("I min skola är vi snälla och lyssnar på varandra",pivot!$P$208,"År",2022)))),)</f>
        <v>3.5681818181818183</v>
      </c>
      <c r="L188" s="148">
        <f>IFERROR(IF(L$189&lt;7,,((GETPIVOTDATA("I min skola är vi snälla och lyssnar på varandra",pivot!$P$208,"År",2023)))),)</f>
        <v>3.4883720930232558</v>
      </c>
      <c r="M188" s="104">
        <v>3.4883720930232558</v>
      </c>
      <c r="N188" s="8"/>
      <c r="O188" s="8"/>
      <c r="P188" s="8"/>
      <c r="Q188" s="8"/>
      <c r="R188" s="8"/>
      <c r="S188" s="8"/>
      <c r="T188" s="8"/>
      <c r="U188" s="8"/>
      <c r="V188" s="8"/>
      <c r="W188" s="8"/>
      <c r="X188" s="8"/>
      <c r="Y188" s="8"/>
      <c r="Z188" s="8"/>
      <c r="AA188" s="8"/>
    </row>
    <row r="189" spans="2:27" ht="14.5" x14ac:dyDescent="0.35">
      <c r="B189" s="71" t="s">
        <v>8</v>
      </c>
      <c r="C189" s="75"/>
      <c r="D189" s="75"/>
      <c r="E189" s="75"/>
      <c r="F189" s="75"/>
      <c r="G189" s="75"/>
      <c r="H189" s="80">
        <f>IFERROR(GETPIVOTDATA("I min skola är vi snälla och lyssnar på varandra",pivot!$A$208,"År",2019),)</f>
        <v>76</v>
      </c>
      <c r="I189" s="80">
        <f>IFERROR(GETPIVOTDATA("I min skola är vi snälla och lyssnar på varandra",pivot!$A$208,"År",2020),)</f>
        <v>97</v>
      </c>
      <c r="J189" s="80">
        <f>IFERROR(GETPIVOTDATA("I min skola är vi snälla och lyssnar på varandra",pivot!$A$208,"År",2021),)</f>
        <v>94</v>
      </c>
      <c r="K189" s="76">
        <f>IFERROR(GETPIVOTDATA("I min skola är vi snälla och lyssnar på varandra",pivot!$A$208,"År",2022),)</f>
        <v>95</v>
      </c>
      <c r="L189" s="158">
        <f>IFERROR(GETPIVOTDATA("I min skola är vi snälla och lyssnar på varandra",pivot!$A$208,"År",2023),)</f>
        <v>88</v>
      </c>
      <c r="M189" s="80">
        <v>88</v>
      </c>
      <c r="N189" s="8"/>
      <c r="O189" s="8"/>
      <c r="P189" s="8"/>
      <c r="Q189" s="8"/>
      <c r="R189" s="8"/>
      <c r="S189" s="8"/>
      <c r="T189" s="8"/>
      <c r="U189" s="8"/>
      <c r="V189" s="8"/>
      <c r="W189" s="8"/>
      <c r="X189" s="8"/>
      <c r="Y189" s="8"/>
      <c r="Z189" s="8"/>
      <c r="AA189" s="8"/>
    </row>
    <row r="190" spans="2:27" ht="37.5" customHeight="1" x14ac:dyDescent="0.35">
      <c r="B190" s="8"/>
      <c r="C190" s="8"/>
      <c r="D190" s="8"/>
      <c r="E190" s="8"/>
      <c r="F190" s="8"/>
      <c r="G190" s="8"/>
      <c r="H190" s="8"/>
      <c r="I190" s="8"/>
      <c r="J190" s="8"/>
      <c r="K190" s="65"/>
      <c r="L190" s="8"/>
      <c r="M190" s="91"/>
      <c r="N190" s="8"/>
      <c r="O190" s="8"/>
      <c r="P190" s="51"/>
      <c r="Q190" s="51"/>
      <c r="R190" s="51"/>
      <c r="S190" s="8"/>
      <c r="T190" s="8"/>
      <c r="U190" s="8"/>
      <c r="V190" s="8"/>
      <c r="W190" s="8"/>
      <c r="X190" s="8"/>
      <c r="Y190" s="8"/>
    </row>
    <row r="191" spans="2:27" ht="15.5" x14ac:dyDescent="0.35">
      <c r="B191" s="124" t="s">
        <v>63</v>
      </c>
      <c r="C191" s="8"/>
      <c r="D191" s="8"/>
      <c r="E191" s="8"/>
      <c r="F191" s="8"/>
      <c r="G191" s="8"/>
      <c r="H191" s="8"/>
      <c r="I191" s="8"/>
      <c r="J191" s="8"/>
      <c r="K191" s="65"/>
      <c r="L191" s="8"/>
      <c r="M191" s="91"/>
      <c r="N191" s="8"/>
      <c r="O191" s="8"/>
      <c r="P191" s="51"/>
      <c r="Q191" s="51"/>
      <c r="R191" s="51"/>
      <c r="S191" s="8"/>
      <c r="T191" s="8"/>
      <c r="U191" s="8"/>
      <c r="V191" s="8"/>
      <c r="W191" s="8"/>
      <c r="X191" s="8"/>
      <c r="Y191" s="8"/>
    </row>
    <row r="192" spans="2:27" ht="14.5" x14ac:dyDescent="0.35">
      <c r="B192" s="52"/>
      <c r="C192" s="49"/>
      <c r="D192" s="49"/>
      <c r="E192" s="49"/>
      <c r="F192" s="50"/>
      <c r="G192" s="50"/>
      <c r="I192" s="151"/>
      <c r="J192" s="151"/>
      <c r="K192" s="15"/>
      <c r="L192" s="150" t="str">
        <f>$G$7</f>
        <v>(Alla)</v>
      </c>
      <c r="M192" s="177" t="s">
        <v>6</v>
      </c>
      <c r="N192" s="8"/>
      <c r="O192" s="8"/>
      <c r="P192" s="51"/>
      <c r="Q192" s="51"/>
      <c r="R192" s="51"/>
      <c r="S192" s="8"/>
      <c r="T192" s="8"/>
      <c r="U192" s="8"/>
      <c r="V192" s="8"/>
      <c r="W192" s="8"/>
      <c r="X192" s="8"/>
      <c r="Y192" s="8"/>
    </row>
    <row r="193" spans="2:27" ht="14.5" x14ac:dyDescent="0.35">
      <c r="C193" s="18"/>
      <c r="D193" s="18"/>
      <c r="E193" s="18"/>
      <c r="F193" s="18"/>
      <c r="G193" s="18"/>
      <c r="H193" s="18">
        <v>2019</v>
      </c>
      <c r="I193" s="18">
        <v>2020</v>
      </c>
      <c r="J193" s="18">
        <v>2021</v>
      </c>
      <c r="K193" s="9">
        <v>2022</v>
      </c>
      <c r="L193" s="155">
        <v>2023</v>
      </c>
      <c r="M193" s="30">
        <v>2023</v>
      </c>
      <c r="N193" s="8"/>
      <c r="O193" s="8"/>
      <c r="P193" s="51"/>
      <c r="Q193" s="51"/>
      <c r="R193" s="51"/>
      <c r="S193" s="8"/>
      <c r="T193" s="8"/>
      <c r="U193" s="8"/>
      <c r="V193" s="8"/>
      <c r="W193" s="8"/>
      <c r="X193" s="8"/>
      <c r="Y193" s="8"/>
    </row>
    <row r="194" spans="2:27" ht="14.5" x14ac:dyDescent="0.35">
      <c r="B194" s="71" t="s">
        <v>46</v>
      </c>
      <c r="C194" s="72"/>
      <c r="D194" s="72"/>
      <c r="E194" s="72"/>
      <c r="F194" s="72"/>
      <c r="G194" s="72"/>
      <c r="H194" s="72">
        <f>IFERROR(IF(H$201&lt;7,,((GETPIVOTDATA("Jag får vara med och välja vad vi ska göra på lektionerna2",pivot!$I$220,"År",2019,"Jag får vara med och välja vad vi ska göra på lektionerna2",1)))),)</f>
        <v>0.05</v>
      </c>
      <c r="I194" s="72">
        <f>IFERROR(IF(I$201&lt;7,,((GETPIVOTDATA("Jag får vara med och välja vad vi ska göra på lektionerna2",pivot!$I$220,"År",2020,"Jag får vara med och välja vad vi ska göra på lektionerna2",1)))),)</f>
        <v>6.25E-2</v>
      </c>
      <c r="J194" s="72">
        <f>IFERROR(IF(J$201&lt;7,,((GETPIVOTDATA("Jag får vara med och välja vad vi ska göra på lektionerna2",pivot!$I$220,"År",2021,"Jag får vara med och välja vad vi ska göra på lektionerna2",1)))),)</f>
        <v>6.4516129032258063E-2</v>
      </c>
      <c r="K194" s="73">
        <f>IFERROR(IF(K$201&lt;7,,((GETPIVOTDATA("Jag får vara med och välja vad vi ska göra på lektionerna2",pivot!$I$220,"År",2022,"Jag får vara med och välja vad vi ska göra på lektionerna2",1)))),)</f>
        <v>3.0927835051546393E-2</v>
      </c>
      <c r="L194" s="89">
        <f>IFERROR(IF(L$201&lt;7,,((GETPIVOTDATA("Jag får vara med och välja vad vi ska göra på lektionerna2",pivot!$I$220,"År",2023,"Jag får vara med och välja vad vi ska göra på lektionerna2",1)))),)</f>
        <v>6.741573033707865E-2</v>
      </c>
      <c r="M194" s="72">
        <v>6.741573033707865E-2</v>
      </c>
      <c r="N194" s="8"/>
      <c r="O194" s="8"/>
      <c r="P194" s="51"/>
      <c r="Q194" s="51"/>
      <c r="R194" s="51"/>
      <c r="S194" s="8"/>
      <c r="T194" s="8"/>
      <c r="U194" s="8"/>
      <c r="V194" s="8"/>
      <c r="W194" s="8"/>
      <c r="X194" s="8"/>
      <c r="Y194" s="8"/>
    </row>
    <row r="195" spans="2:27" ht="14.5" x14ac:dyDescent="0.35">
      <c r="B195" s="74">
        <v>2</v>
      </c>
      <c r="C195" s="72"/>
      <c r="D195" s="72"/>
      <c r="E195" s="72"/>
      <c r="F195" s="72"/>
      <c r="G195" s="72"/>
      <c r="H195" s="72">
        <f>IFERROR(IF(H$201&lt;7,,((GETPIVOTDATA("Jag får vara med och välja vad vi ska göra på lektionerna2",pivot!$I$220,"År",2019,"Jag får vara med och välja vad vi ska göra på lektionerna2",2)))),)</f>
        <v>7.4999999999999997E-2</v>
      </c>
      <c r="I195" s="72">
        <f>IFERROR(IF(I$201&lt;7,,((GETPIVOTDATA("Jag får vara med och välja vad vi ska göra på lektionerna2",pivot!$I$220,"År",2020,"Jag får vara med och välja vad vi ska göra på lektionerna2",2)))),)</f>
        <v>7.2916666666666671E-2</v>
      </c>
      <c r="J195" s="72">
        <f>IFERROR(IF(J$201&lt;7,,((GETPIVOTDATA("Jag får vara med och välja vad vi ska göra på lektionerna2",pivot!$I$220,"År",2021,"Jag får vara med och välja vad vi ska göra på lektionerna2",2)))),)</f>
        <v>6.4516129032258063E-2</v>
      </c>
      <c r="K195" s="73">
        <f>IFERROR(IF(K$201&lt;7,,((GETPIVOTDATA("Jag får vara med och välja vad vi ska göra på lektionerna2",pivot!$I$220,"År",2022,"Jag får vara med och välja vad vi ska göra på lektionerna2",2)))),)</f>
        <v>8.247422680412371E-2</v>
      </c>
      <c r="L195" s="89">
        <f>IFERROR(IF(L$201&lt;7,,((GETPIVOTDATA("Jag får vara med och välja vad vi ska göra på lektionerna2",pivot!$I$220,"År",2023,"Jag får vara med och välja vad vi ska göra på lektionerna2",2)))),)</f>
        <v>7.8651685393258425E-2</v>
      </c>
      <c r="M195" s="72">
        <v>7.8651685393258425E-2</v>
      </c>
      <c r="N195" s="8"/>
      <c r="O195" s="8"/>
      <c r="P195" s="51"/>
      <c r="Q195" s="51"/>
      <c r="R195" s="51"/>
      <c r="S195" s="8"/>
      <c r="T195" s="8"/>
      <c r="U195" s="8"/>
      <c r="V195" s="8"/>
      <c r="W195" s="8"/>
      <c r="X195" s="8"/>
      <c r="Y195" s="8"/>
    </row>
    <row r="196" spans="2:27" ht="14.5" x14ac:dyDescent="0.35">
      <c r="B196" s="74">
        <v>3</v>
      </c>
      <c r="C196" s="72"/>
      <c r="D196" s="72"/>
      <c r="E196" s="72"/>
      <c r="F196" s="72"/>
      <c r="G196" s="72"/>
      <c r="H196" s="72">
        <f>IFERROR(IF(H$201&lt;7,,((GETPIVOTDATA("Jag får vara med och välja vad vi ska göra på lektionerna2",pivot!$I$220,"År",2019,"Jag får vara med och välja vad vi ska göra på lektionerna2",3)))),)</f>
        <v>0.38750000000000001</v>
      </c>
      <c r="I196" s="72">
        <f>IFERROR(IF(I$201&lt;7,,((GETPIVOTDATA("Jag får vara med och välja vad vi ska göra på lektionerna2",pivot!$I$220,"År",2020,"Jag får vara med och välja vad vi ska göra på lektionerna2",3)))),)</f>
        <v>0.40625</v>
      </c>
      <c r="J196" s="72">
        <f>IFERROR(IF(J$201&lt;7,,((GETPIVOTDATA("Jag får vara med och välja vad vi ska göra på lektionerna2",pivot!$I$220,"År",2021,"Jag får vara med och välja vad vi ska göra på lektionerna2",3)))),)</f>
        <v>0.35483870967741937</v>
      </c>
      <c r="K196" s="73">
        <f>IFERROR(IF(K$201&lt;7,,((GETPIVOTDATA("Jag får vara med och välja vad vi ska göra på lektionerna2",pivot!$I$220,"År",2022,"Jag får vara med och välja vad vi ska göra på lektionerna2",3)))),)</f>
        <v>0.39175257731958762</v>
      </c>
      <c r="L196" s="89">
        <f>IFERROR(IF(L$201&lt;7,,((GETPIVOTDATA("Jag får vara med och välja vad vi ska göra på lektionerna2",pivot!$I$220,"År",2023,"Jag får vara med och välja vad vi ska göra på lektionerna2",3)))),)</f>
        <v>0.34831460674157305</v>
      </c>
      <c r="M196" s="72">
        <v>0.34831460674157305</v>
      </c>
      <c r="N196" s="8"/>
      <c r="O196" s="8"/>
      <c r="P196" s="51"/>
      <c r="Q196" s="51"/>
      <c r="R196" s="51"/>
      <c r="S196" s="8"/>
      <c r="T196" s="8"/>
      <c r="U196" s="8"/>
      <c r="V196" s="8"/>
      <c r="W196" s="8"/>
      <c r="X196" s="8"/>
      <c r="Y196" s="8"/>
    </row>
    <row r="197" spans="2:27" ht="14.5" x14ac:dyDescent="0.35">
      <c r="B197" s="74" t="s">
        <v>47</v>
      </c>
      <c r="C197" s="72"/>
      <c r="D197" s="72"/>
      <c r="E197" s="72"/>
      <c r="F197" s="72"/>
      <c r="G197" s="72"/>
      <c r="H197" s="72">
        <f>IFERROR(IF(H$201&lt;7,,((GETPIVOTDATA("Jag får vara med och välja vad vi ska göra på lektionerna2",pivot!$I$220,"År",2019,"Jag får vara med och välja vad vi ska göra på lektionerna2",4)))),)</f>
        <v>0.4375</v>
      </c>
      <c r="I197" s="72">
        <f>IFERROR(IF(I$201&lt;7,,((GETPIVOTDATA("Jag får vara med och välja vad vi ska göra på lektionerna2",pivot!$I$220,"År",2020,"Jag får vara med och välja vad vi ska göra på lektionerna2",4)))),)</f>
        <v>0.34375</v>
      </c>
      <c r="J197" s="72">
        <f>IFERROR(IF(J$201&lt;7,,((GETPIVOTDATA("Jag får vara med och välja vad vi ska göra på lektionerna2",pivot!$I$220,"År",2021,"Jag får vara med och välja vad vi ska göra på lektionerna2",4)))),)</f>
        <v>0.41935483870967744</v>
      </c>
      <c r="K197" s="73">
        <f>IFERROR(IF(K$201&lt;7,,((GETPIVOTDATA("Jag får vara med och välja vad vi ska göra på lektionerna2",pivot!$I$220,"År",2022,"Jag får vara med och välja vad vi ska göra på lektionerna2",4)))),)</f>
        <v>0.40206185567010311</v>
      </c>
      <c r="L197" s="89">
        <f>IFERROR(IF(L$201&lt;7,,((GETPIVOTDATA("Jag får vara med och välja vad vi ska göra på lektionerna2",pivot!$I$220,"År",2023,"Jag får vara med och välja vad vi ska göra på lektionerna2",4)))),)</f>
        <v>0.4606741573033708</v>
      </c>
      <c r="M197" s="72">
        <v>0.4606741573033708</v>
      </c>
      <c r="N197" s="8"/>
      <c r="O197" s="8"/>
      <c r="P197" s="51"/>
      <c r="Q197" s="51"/>
      <c r="R197" s="51"/>
      <c r="S197" s="8"/>
      <c r="T197" s="8"/>
      <c r="U197" s="8"/>
      <c r="V197" s="8"/>
      <c r="W197" s="8"/>
      <c r="X197" s="8"/>
      <c r="Y197" s="8"/>
    </row>
    <row r="198" spans="2:27" ht="14.5" x14ac:dyDescent="0.35">
      <c r="B198" s="74" t="s">
        <v>2</v>
      </c>
      <c r="C198" s="72"/>
      <c r="D198" s="72"/>
      <c r="E198" s="72"/>
      <c r="F198" s="72"/>
      <c r="G198" s="72"/>
      <c r="H198" s="72">
        <f>IFERROR(IF(H$201&lt;7,,((GETPIVOTDATA("Jag får vara med och välja vad vi ska göra på lektionerna2",pivot!$I$220,"År",2019,"Jag får vara med och välja vad vi ska göra på lektionerna2",5)))),)</f>
        <v>0.05</v>
      </c>
      <c r="I198" s="72">
        <f>IFERROR(IF(I$201&lt;7,,((GETPIVOTDATA("Jag får vara med och välja vad vi ska göra på lektionerna2",pivot!$I$220,"År",2020,"Jag får vara med och välja vad vi ska göra på lektionerna2",5)))),)</f>
        <v>0.11458333333333333</v>
      </c>
      <c r="J198" s="72">
        <f>IFERROR(IF(J$201&lt;7,,((GETPIVOTDATA("Jag får vara med och välja vad vi ska göra på lektionerna2",pivot!$I$220,"År",2021,"Jag får vara med och välja vad vi ska göra på lektionerna2",5)))),)</f>
        <v>9.6774193548387094E-2</v>
      </c>
      <c r="K198" s="73">
        <f>IFERROR(IF(K$201&lt;7,,((GETPIVOTDATA("Jag får vara med och välja vad vi ska göra på lektionerna2",pivot!$I$220,"År",2022,"Jag får vara med och välja vad vi ska göra på lektionerna2",5)))),)</f>
        <v>9.2783505154639179E-2</v>
      </c>
      <c r="L198" s="89">
        <f>IFERROR(IF(L$201&lt;7,,((GETPIVOTDATA("Jag får vara med och välja vad vi ska göra på lektionerna2",pivot!$I$220,"År",2023,"Jag får vara med och välja vad vi ska göra på lektionerna2",5)))),)</f>
        <v>4.49438202247191E-2</v>
      </c>
      <c r="M198" s="72">
        <v>4.49438202247191E-2</v>
      </c>
      <c r="N198" s="8"/>
      <c r="O198" s="8"/>
      <c r="P198" s="51"/>
      <c r="Q198" s="51"/>
      <c r="R198" s="51"/>
      <c r="S198" s="8"/>
      <c r="T198" s="8"/>
      <c r="U198" s="8"/>
      <c r="V198" s="8"/>
      <c r="W198" s="8"/>
      <c r="X198" s="8"/>
      <c r="Y198" s="8"/>
    </row>
    <row r="199" spans="2:27" ht="14.5" x14ac:dyDescent="0.35">
      <c r="B199" s="71" t="s">
        <v>6</v>
      </c>
      <c r="C199" s="72"/>
      <c r="D199" s="72"/>
      <c r="E199" s="72"/>
      <c r="F199" s="72"/>
      <c r="G199" s="72"/>
      <c r="H199" s="72">
        <f>IFERROR(SUM(H194:H198),"-")</f>
        <v>1</v>
      </c>
      <c r="I199" s="72">
        <f>IFERROR(SUM(I194:I198),"-")</f>
        <v>1</v>
      </c>
      <c r="J199" s="72">
        <f>IFERROR(SUM(J194:J198),"-")</f>
        <v>1</v>
      </c>
      <c r="K199" s="73">
        <f>IFERROR(SUM(K194:K198),"-")</f>
        <v>1</v>
      </c>
      <c r="L199" s="89">
        <f>IFERROR(SUM(L194:L198),"-")</f>
        <v>1</v>
      </c>
      <c r="M199" s="72">
        <v>1</v>
      </c>
      <c r="N199" s="8"/>
      <c r="O199" s="8"/>
      <c r="P199" s="51"/>
      <c r="Q199" s="51"/>
      <c r="R199" s="51"/>
      <c r="S199" s="8"/>
      <c r="T199" s="8"/>
      <c r="U199" s="8"/>
      <c r="V199" s="8"/>
      <c r="W199" s="8"/>
      <c r="X199" s="8"/>
      <c r="Y199" s="8"/>
    </row>
    <row r="200" spans="2:27" ht="14.5" x14ac:dyDescent="0.35">
      <c r="B200" s="103" t="s">
        <v>7</v>
      </c>
      <c r="C200" s="104"/>
      <c r="D200" s="104"/>
      <c r="E200" s="104"/>
      <c r="F200" s="104"/>
      <c r="G200" s="104"/>
      <c r="H200" s="105">
        <f>IFERROR(IF(H$201&lt;7,,((GETPIVOTDATA("Jag får vara med och välja vad vi ska göra på lektionerna2",pivot!$P$220,"År",2019)))),)</f>
        <v>3.2763157894736841</v>
      </c>
      <c r="I200" s="105">
        <f>IFERROR(IF(I$201&lt;7,,((GETPIVOTDATA("Jag får vara med och välja vad vi ska göra på lektionerna2",pivot!$P$220,"År",2020)))),)</f>
        <v>3.164705882352941</v>
      </c>
      <c r="J200" s="105">
        <f>IFERROR(IF(J$201&lt;7,,((GETPIVOTDATA("Jag får vara med och välja vad vi ska göra på lektionerna2",pivot!$P$220,"År",2021)))),)</f>
        <v>3.25</v>
      </c>
      <c r="K200" s="165">
        <f>IFERROR(IF(K$201&lt;7,,((GETPIVOTDATA("Jag får vara med och välja vad vi ska göra på lektionerna2",pivot!$P$220,"År",2022)))),)</f>
        <v>3.2840909090909092</v>
      </c>
      <c r="L200" s="148">
        <f>IFERROR(IF(L$201&lt;7,,((GETPIVOTDATA("Jag får vara med och välja vad vi ska göra på lektionerna2",pivot!$P$220,"År",2023)))),)</f>
        <v>3.2588235294117647</v>
      </c>
      <c r="M200" s="104">
        <v>3.2588235294117647</v>
      </c>
      <c r="N200" s="8"/>
      <c r="O200" s="8"/>
      <c r="P200" s="51"/>
      <c r="Q200" s="51"/>
      <c r="R200" s="51"/>
      <c r="S200" s="8"/>
      <c r="T200" s="8"/>
      <c r="U200" s="8"/>
      <c r="V200" s="8"/>
      <c r="W200" s="8"/>
      <c r="X200" s="8"/>
      <c r="Y200" s="8"/>
    </row>
    <row r="201" spans="2:27" ht="14.5" x14ac:dyDescent="0.35">
      <c r="B201" s="71" t="s">
        <v>8</v>
      </c>
      <c r="C201" s="75"/>
      <c r="D201" s="75"/>
      <c r="E201" s="75"/>
      <c r="F201" s="75"/>
      <c r="G201" s="75"/>
      <c r="H201" s="80">
        <f>IFERROR(GETPIVOTDATA("Jag får vara med och välja vad vi ska göra på lektionerna2",pivot!$A$220,"År",2019),)</f>
        <v>80</v>
      </c>
      <c r="I201" s="80">
        <f>IFERROR(GETPIVOTDATA("Jag får vara med och välja vad vi ska göra på lektionerna2",pivot!$A$220,"År",2020),)</f>
        <v>96</v>
      </c>
      <c r="J201" s="80">
        <f>IFERROR(GETPIVOTDATA("Jag får vara med och välja vad vi ska göra på lektionerna2",pivot!$A$220,"År",2021),)</f>
        <v>93</v>
      </c>
      <c r="K201" s="76">
        <f>IFERROR(GETPIVOTDATA("Jag får vara med och välja vad vi ska göra på lektionerna2",pivot!$A$220,"År",2022),)</f>
        <v>97</v>
      </c>
      <c r="L201" s="158">
        <f>IFERROR(GETPIVOTDATA("Jag får vara med och välja vad vi ska göra på lektionerna2",pivot!$A$220,"År",2023),)</f>
        <v>89</v>
      </c>
      <c r="M201" s="80">
        <v>89</v>
      </c>
      <c r="N201" s="8"/>
      <c r="O201" s="8"/>
      <c r="P201" s="8"/>
      <c r="Q201" s="8"/>
      <c r="R201" s="8"/>
      <c r="S201" s="8"/>
      <c r="T201" s="8"/>
      <c r="U201" s="8"/>
      <c r="V201" s="8"/>
      <c r="W201" s="8"/>
      <c r="X201" s="8"/>
      <c r="Y201" s="8"/>
      <c r="Z201" s="8"/>
    </row>
    <row r="202" spans="2:27" ht="14.5" x14ac:dyDescent="0.35">
      <c r="B202" s="8"/>
      <c r="C202" s="8"/>
      <c r="D202" s="51"/>
      <c r="E202" s="51"/>
      <c r="F202" s="8"/>
      <c r="H202" s="8"/>
      <c r="I202" s="8"/>
      <c r="J202" s="8"/>
      <c r="K202" s="65"/>
      <c r="L202" s="8"/>
      <c r="M202" s="91"/>
      <c r="N202" s="8"/>
      <c r="O202" s="8"/>
      <c r="P202" s="8"/>
      <c r="Q202" s="8"/>
      <c r="R202" s="8"/>
      <c r="S202" s="8"/>
      <c r="T202" s="8"/>
      <c r="U202" s="8"/>
      <c r="V202" s="8"/>
      <c r="W202" s="8"/>
      <c r="X202" s="8"/>
      <c r="Y202" s="8"/>
      <c r="Z202" s="8"/>
      <c r="AA202" s="8"/>
    </row>
    <row r="203" spans="2:27" ht="14.5" x14ac:dyDescent="0.35">
      <c r="B203" s="8"/>
      <c r="C203" s="8"/>
      <c r="D203" s="51"/>
      <c r="E203" s="51"/>
      <c r="F203" s="8"/>
      <c r="H203" s="8"/>
      <c r="I203" s="8"/>
      <c r="J203" s="8"/>
      <c r="K203" s="65"/>
      <c r="L203" s="8"/>
      <c r="M203" s="91"/>
      <c r="N203" s="8"/>
      <c r="O203" s="8"/>
      <c r="P203" s="51"/>
      <c r="Q203" s="51"/>
      <c r="R203" s="51"/>
      <c r="S203" s="8"/>
      <c r="T203" s="8"/>
      <c r="U203" s="8"/>
      <c r="V203" s="8"/>
      <c r="W203" s="8"/>
      <c r="X203" s="8"/>
      <c r="Y203" s="8"/>
    </row>
    <row r="204" spans="2:27" ht="15.5" x14ac:dyDescent="0.35">
      <c r="B204" s="124" t="s">
        <v>68</v>
      </c>
      <c r="C204" s="8"/>
      <c r="D204" s="51"/>
      <c r="E204" s="51"/>
      <c r="F204" s="8"/>
      <c r="H204" s="8"/>
      <c r="I204" s="8"/>
      <c r="J204" s="8"/>
      <c r="K204" s="65"/>
      <c r="L204" s="8"/>
      <c r="M204" s="91"/>
      <c r="N204" s="8"/>
      <c r="O204" s="8"/>
      <c r="P204" s="51"/>
      <c r="Q204" s="51"/>
      <c r="R204" s="51"/>
      <c r="S204" s="8"/>
      <c r="T204" s="8"/>
      <c r="U204" s="8"/>
      <c r="V204" s="8"/>
      <c r="W204" s="8"/>
      <c r="X204" s="8"/>
      <c r="Y204" s="8"/>
    </row>
    <row r="205" spans="2:27" ht="14.5" x14ac:dyDescent="0.35">
      <c r="B205" s="8"/>
      <c r="C205" s="49"/>
      <c r="D205" s="50"/>
      <c r="E205" s="50"/>
      <c r="F205" s="50"/>
      <c r="I205" s="151"/>
      <c r="J205" s="151"/>
      <c r="K205" s="15"/>
      <c r="L205" s="150" t="str">
        <f>$G$7</f>
        <v>(Alla)</v>
      </c>
      <c r="M205" s="177" t="s">
        <v>6</v>
      </c>
      <c r="N205" s="8"/>
      <c r="O205" s="8"/>
      <c r="P205" s="51"/>
      <c r="Q205" s="51"/>
      <c r="R205" s="51"/>
      <c r="S205" s="8"/>
      <c r="T205" s="8"/>
      <c r="U205" s="8"/>
      <c r="V205" s="8"/>
      <c r="W205" s="8"/>
      <c r="X205" s="8"/>
      <c r="Y205" s="8"/>
    </row>
    <row r="206" spans="2:27" ht="14.5" x14ac:dyDescent="0.35">
      <c r="C206" s="18"/>
      <c r="D206" s="18"/>
      <c r="E206" s="18"/>
      <c r="F206" s="18"/>
      <c r="G206" s="18"/>
      <c r="H206" s="18">
        <v>2019</v>
      </c>
      <c r="I206" s="18">
        <v>2020</v>
      </c>
      <c r="J206" s="18">
        <v>2021</v>
      </c>
      <c r="K206" s="9">
        <v>2022</v>
      </c>
      <c r="L206" s="155">
        <v>2023</v>
      </c>
      <c r="M206" s="30">
        <v>2023</v>
      </c>
      <c r="N206" s="8"/>
      <c r="O206" s="8"/>
      <c r="P206" s="51"/>
      <c r="Q206" s="51"/>
      <c r="R206" s="51"/>
      <c r="S206" s="8"/>
      <c r="T206" s="8"/>
      <c r="U206" s="8"/>
      <c r="V206" s="8"/>
      <c r="W206" s="8"/>
      <c r="X206" s="8"/>
      <c r="Y206" s="8"/>
    </row>
    <row r="207" spans="2:27" ht="14.5" x14ac:dyDescent="0.35">
      <c r="B207" s="71" t="s">
        <v>46</v>
      </c>
      <c r="C207" s="72"/>
      <c r="D207" s="72"/>
      <c r="E207" s="72"/>
      <c r="F207" s="72"/>
      <c r="G207" s="72"/>
      <c r="H207" s="72">
        <f>IFERROR(IF(H$214&lt;7,,((GETPIVOTDATA("I min skola är eleverna med och bestämmer trivselregler",pivot!$I$231,"År",2019,"I min skola är eleverna med och bestämmer trivselregler",1)))),)</f>
        <v>3.9473684210526314E-2</v>
      </c>
      <c r="I207" s="72">
        <f>IFERROR(IF(I$214&lt;7,,((GETPIVOTDATA("I min skola är eleverna med och bestämmer trivselregler",pivot!$I$231,"År",2020,"I min skola är eleverna med och bestämmer trivselregler",1)))),)</f>
        <v>6.25E-2</v>
      </c>
      <c r="J207" s="72">
        <f>IFERROR(IF(J$214&lt;7,,((GETPIVOTDATA("I min skola är eleverna med och bestämmer trivselregler",pivot!$I$231,"År",2021,"I min skola är eleverna med och bestämmer trivselregler",1)))),)</f>
        <v>3.2258064516129031E-2</v>
      </c>
      <c r="K207" s="73">
        <f>IFERROR(IF(K$214&lt;7,,((GETPIVOTDATA("I min skola är eleverna med och bestämmer trivselregler",pivot!$I$231,"År",2022,"I min skola är eleverna med och bestämmer trivselregler",1)))),)</f>
        <v>1.0526315789473684E-2</v>
      </c>
      <c r="L207" s="89">
        <f>IFERROR(IF(L$214&lt;7,,((GETPIVOTDATA("I min skola är eleverna med och bestämmer trivselregler",pivot!$I$231,"År",2023,"I min skola är eleverna med och bestämmer trivselregler",1)))),)</f>
        <v>2.2727272727272728E-2</v>
      </c>
      <c r="M207" s="72">
        <v>2.2727272727272728E-2</v>
      </c>
      <c r="N207" s="8"/>
      <c r="O207" s="8"/>
      <c r="P207" s="51"/>
      <c r="Q207" s="51"/>
      <c r="R207" s="51"/>
      <c r="S207" s="8"/>
      <c r="T207" s="8"/>
      <c r="U207" s="8"/>
      <c r="V207" s="8"/>
      <c r="W207" s="8"/>
      <c r="X207" s="8"/>
      <c r="Y207" s="8"/>
    </row>
    <row r="208" spans="2:27" ht="14.5" x14ac:dyDescent="0.35">
      <c r="B208" s="74">
        <v>2</v>
      </c>
      <c r="C208" s="72"/>
      <c r="D208" s="72"/>
      <c r="E208" s="72"/>
      <c r="F208" s="72"/>
      <c r="G208" s="72"/>
      <c r="H208" s="72">
        <f>IFERROR(IF(H$214&lt;7,,((GETPIVOTDATA("I min skola är eleverna med och bestämmer trivselregler",pivot!$I$231,"År",2019,"I min skola är eleverna med och bestämmer trivselregler",2)))),)</f>
        <v>2.6315789473684209E-2</v>
      </c>
      <c r="I208" s="72">
        <f>IFERROR(IF(I$214&lt;7,,((GETPIVOTDATA("I min skola är eleverna med och bestämmer trivselregler",pivot!$I$231,"År",2020,"I min skola är eleverna med och bestämmer trivselregler",2)))),)</f>
        <v>8.3333333333333329E-2</v>
      </c>
      <c r="J208" s="72">
        <f>IFERROR(IF(J$214&lt;7,,((GETPIVOTDATA("I min skola är eleverna med och bestämmer trivselregler",pivot!$I$231,"År",2021,"I min skola är eleverna med och bestämmer trivselregler",2)))),)</f>
        <v>2.1505376344086023E-2</v>
      </c>
      <c r="K208" s="73">
        <f>IFERROR(IF(K$214&lt;7,,((GETPIVOTDATA("I min skola är eleverna med och bestämmer trivselregler",pivot!$I$231,"År",2022,"I min skola är eleverna med och bestämmer trivselregler",2)))),)</f>
        <v>3.1578947368421054E-2</v>
      </c>
      <c r="L208" s="89">
        <f>IFERROR(IF(L$214&lt;7,,((GETPIVOTDATA("I min skola är eleverna med och bestämmer trivselregler",pivot!$I$231,"År",2023,"I min skola är eleverna med och bestämmer trivselregler",2)))),)</f>
        <v>4.5454545454545456E-2</v>
      </c>
      <c r="M208" s="72">
        <v>4.5454545454545456E-2</v>
      </c>
      <c r="N208" s="8"/>
      <c r="O208" s="8"/>
      <c r="P208" s="51"/>
      <c r="Q208" s="51"/>
      <c r="R208" s="51"/>
      <c r="S208" s="8"/>
      <c r="T208" s="8"/>
      <c r="U208" s="8"/>
      <c r="V208" s="8"/>
      <c r="W208" s="8"/>
      <c r="X208" s="8"/>
      <c r="Y208" s="8"/>
    </row>
    <row r="209" spans="2:25" ht="14.5" x14ac:dyDescent="0.35">
      <c r="B209" s="74">
        <v>3</v>
      </c>
      <c r="C209" s="72"/>
      <c r="D209" s="72"/>
      <c r="E209" s="72"/>
      <c r="F209" s="72"/>
      <c r="G209" s="72"/>
      <c r="H209" s="72">
        <f>IFERROR(IF(H$214&lt;7,,((GETPIVOTDATA("I min skola är eleverna med och bestämmer trivselregler",pivot!$I$231,"År",2019,"I min skola är eleverna med och bestämmer trivselregler",3)))),)</f>
        <v>0.22368421052631579</v>
      </c>
      <c r="I209" s="72">
        <f>IFERROR(IF(I$214&lt;7,,((GETPIVOTDATA("I min skola är eleverna med och bestämmer trivselregler",pivot!$I$231,"År",2020,"I min skola är eleverna med och bestämmer trivselregler",3)))),)</f>
        <v>0.27083333333333331</v>
      </c>
      <c r="J209" s="72">
        <f>IFERROR(IF(J$214&lt;7,,((GETPIVOTDATA("I min skola är eleverna med och bestämmer trivselregler",pivot!$I$231,"År",2021,"I min skola är eleverna med och bestämmer trivselregler",3)))),)</f>
        <v>0.36559139784946237</v>
      </c>
      <c r="K209" s="73">
        <f>IFERROR(IF(K$214&lt;7,,((GETPIVOTDATA("I min skola är eleverna med och bestämmer trivselregler",pivot!$I$231,"År",2022,"I min skola är eleverna med och bestämmer trivselregler",3)))),)</f>
        <v>0.29473684210526313</v>
      </c>
      <c r="L209" s="89">
        <f>IFERROR(IF(L$214&lt;7,,((GETPIVOTDATA("I min skola är eleverna med och bestämmer trivselregler",pivot!$I$231,"År",2023,"I min skola är eleverna med och bestämmer trivselregler",3)))),)</f>
        <v>0.28409090909090912</v>
      </c>
      <c r="M209" s="72">
        <v>0.28409090909090912</v>
      </c>
      <c r="N209" s="8"/>
      <c r="O209" s="8"/>
      <c r="P209" s="51"/>
      <c r="Q209" s="51"/>
      <c r="R209" s="51"/>
      <c r="S209" s="8"/>
      <c r="T209" s="8"/>
      <c r="U209" s="8"/>
      <c r="V209" s="8"/>
      <c r="W209" s="8"/>
      <c r="X209" s="8"/>
      <c r="Y209" s="8"/>
    </row>
    <row r="210" spans="2:25" ht="14.5" x14ac:dyDescent="0.35">
      <c r="B210" s="74" t="s">
        <v>47</v>
      </c>
      <c r="C210" s="72"/>
      <c r="D210" s="72"/>
      <c r="E210" s="72"/>
      <c r="F210" s="72"/>
      <c r="G210" s="72"/>
      <c r="H210" s="72">
        <f>IFERROR(IF(H$214&lt;7,,((GETPIVOTDATA("I min skola är eleverna med och bestämmer trivselregler",pivot!$I$231,"År",2019,"I min skola är eleverna med och bestämmer trivselregler",4)))),)</f>
        <v>0.60526315789473684</v>
      </c>
      <c r="I210" s="72">
        <f>IFERROR(IF(I$214&lt;7,,((GETPIVOTDATA("I min skola är eleverna med och bestämmer trivselregler",pivot!$I$231,"År",2020,"I min skola är eleverna med och bestämmer trivselregler",4)))),)</f>
        <v>0.4375</v>
      </c>
      <c r="J210" s="72">
        <f>IFERROR(IF(J$214&lt;7,,((GETPIVOTDATA("I min skola är eleverna med och bestämmer trivselregler",pivot!$I$231,"År",2021,"I min skola är eleverna med och bestämmer trivselregler",4)))),)</f>
        <v>0.4946236559139785</v>
      </c>
      <c r="K210" s="73">
        <f>IFERROR(IF(K$214&lt;7,,((GETPIVOTDATA("I min skola är eleverna med och bestämmer trivselregler",pivot!$I$231,"År",2022,"I min skola är eleverna med och bestämmer trivselregler",4)))),)</f>
        <v>0.52631578947368418</v>
      </c>
      <c r="L210" s="89">
        <f>IFERROR(IF(L$214&lt;7,,((GETPIVOTDATA("I min skola är eleverna med och bestämmer trivselregler",pivot!$I$231,"År",2023,"I min skola är eleverna med och bestämmer trivselregler",4)))),)</f>
        <v>0.47727272727272729</v>
      </c>
      <c r="M210" s="72">
        <v>0.47727272727272729</v>
      </c>
      <c r="N210" s="8"/>
      <c r="O210" s="8"/>
      <c r="P210" s="51"/>
      <c r="Q210" s="51"/>
      <c r="R210" s="51"/>
      <c r="S210" s="8"/>
      <c r="T210" s="8"/>
      <c r="U210" s="8"/>
      <c r="V210" s="8"/>
      <c r="W210" s="8"/>
      <c r="X210" s="8"/>
      <c r="Y210" s="8"/>
    </row>
    <row r="211" spans="2:25" ht="14.5" x14ac:dyDescent="0.35">
      <c r="B211" s="74" t="s">
        <v>2</v>
      </c>
      <c r="C211" s="72"/>
      <c r="D211" s="72"/>
      <c r="E211" s="72"/>
      <c r="F211" s="72"/>
      <c r="G211" s="72"/>
      <c r="H211" s="72">
        <f>IFERROR(IF(H$214&lt;7,,((GETPIVOTDATA("I min skola är eleverna med och bestämmer trivselregler",pivot!$I$231,"År",2019,"I min skola är eleverna med och bestämmer trivselregler",5)))),)</f>
        <v>0.10526315789473684</v>
      </c>
      <c r="I211" s="72">
        <f>IFERROR(IF(I$214&lt;7,,((GETPIVOTDATA("I min skola är eleverna med och bestämmer trivselregler",pivot!$I$231,"År",2020,"I min skola är eleverna med och bestämmer trivselregler",5)))),)</f>
        <v>0.14583333333333334</v>
      </c>
      <c r="J211" s="72">
        <f>IFERROR(IF(J$214&lt;7,,((GETPIVOTDATA("I min skola är eleverna med och bestämmer trivselregler",pivot!$I$231,"År",2021,"I min skola är eleverna med och bestämmer trivselregler",5)))),)</f>
        <v>8.6021505376344093E-2</v>
      </c>
      <c r="K211" s="73">
        <f>IFERROR(IF(K$214&lt;7,,((GETPIVOTDATA("I min skola är eleverna med och bestämmer trivselregler",pivot!$I$231,"År",2022,"I min skola är eleverna med och bestämmer trivselregler",5)))),)</f>
        <v>0.1368421052631579</v>
      </c>
      <c r="L211" s="89">
        <f>IFERROR(IF(L$214&lt;7,,((GETPIVOTDATA("I min skola är eleverna med och bestämmer trivselregler",pivot!$I$231,"År",2023,"I min skola är eleverna med och bestämmer trivselregler",5)))),)</f>
        <v>0.17045454545454544</v>
      </c>
      <c r="M211" s="72">
        <v>0.17045454545454544</v>
      </c>
      <c r="N211" s="8"/>
      <c r="O211" s="8"/>
      <c r="P211" s="51"/>
      <c r="Q211" s="51"/>
      <c r="R211" s="51"/>
      <c r="S211" s="8"/>
      <c r="T211" s="8"/>
      <c r="U211" s="8"/>
      <c r="V211" s="8"/>
      <c r="W211" s="8"/>
      <c r="X211" s="8"/>
      <c r="Y211" s="8"/>
    </row>
    <row r="212" spans="2:25" ht="14.5" x14ac:dyDescent="0.35">
      <c r="B212" s="71" t="s">
        <v>6</v>
      </c>
      <c r="C212" s="72"/>
      <c r="D212" s="72"/>
      <c r="E212" s="72"/>
      <c r="F212" s="72"/>
      <c r="G212" s="72"/>
      <c r="H212" s="72">
        <f>IFERROR(SUM(H207:H211),"-")</f>
        <v>1</v>
      </c>
      <c r="I212" s="72">
        <f>IFERROR(SUM(I207:I211),"-")</f>
        <v>1</v>
      </c>
      <c r="J212" s="72">
        <f>IFERROR(SUM(J207:J211),"-")</f>
        <v>1</v>
      </c>
      <c r="K212" s="73">
        <f>IFERROR(SUM(K207:K211),"-")</f>
        <v>1</v>
      </c>
      <c r="L212" s="89">
        <f>IFERROR(SUM(L207:L211),"-")</f>
        <v>1</v>
      </c>
      <c r="M212" s="72">
        <v>1</v>
      </c>
      <c r="N212" s="8"/>
      <c r="O212" s="8"/>
      <c r="P212" s="51"/>
      <c r="Q212" s="51"/>
      <c r="R212" s="51"/>
      <c r="S212" s="8"/>
      <c r="T212" s="8"/>
      <c r="U212" s="8"/>
      <c r="V212" s="8"/>
      <c r="W212" s="8"/>
      <c r="X212" s="8"/>
      <c r="Y212" s="8"/>
    </row>
    <row r="213" spans="2:25" ht="14.5" x14ac:dyDescent="0.35">
      <c r="B213" s="103" t="s">
        <v>7</v>
      </c>
      <c r="C213" s="104"/>
      <c r="D213" s="104"/>
      <c r="E213" s="104"/>
      <c r="F213" s="104"/>
      <c r="G213" s="104"/>
      <c r="H213" s="105">
        <f>IFERROR(IF(H$214&lt;7,,((GETPIVOTDATA("I min skola är eleverna med och bestämmer trivselregler",pivot!$P$231,"År",2019)))),)</f>
        <v>3.5588235294117645</v>
      </c>
      <c r="I213" s="105">
        <f>IFERROR(IF(I$214&lt;7,,((GETPIVOTDATA("I min skola är eleverna med och bestämmer trivselregler",pivot!$P$231,"År",2020)))),)</f>
        <v>3.2682926829268291</v>
      </c>
      <c r="J213" s="105">
        <f>IFERROR(IF(J$214&lt;7,,((GETPIVOTDATA("I min skola är eleverna med och bestämmer trivselregler",pivot!$P$231,"År",2021)))),)</f>
        <v>3.447058823529412</v>
      </c>
      <c r="K213" s="165">
        <f>IFERROR(IF(K$214&lt;7,,((GETPIVOTDATA("I min skola är eleverna med och bestämmer trivselregler",pivot!$P$231,"År",2022)))),)</f>
        <v>3.5487804878048781</v>
      </c>
      <c r="L213" s="148">
        <f>IFERROR(IF(L$214&lt;7,,((GETPIVOTDATA("I min skola är eleverna med och bestämmer trivselregler",pivot!$P$231,"År",2023)))),)</f>
        <v>3.4657534246575343</v>
      </c>
      <c r="M213" s="104">
        <v>3.4657534246575343</v>
      </c>
      <c r="N213" s="8"/>
      <c r="O213" s="8"/>
      <c r="P213" s="51"/>
      <c r="Q213" s="51"/>
      <c r="R213" s="51"/>
      <c r="S213" s="8"/>
      <c r="T213" s="8"/>
      <c r="U213" s="8"/>
      <c r="V213" s="8"/>
      <c r="W213" s="8"/>
      <c r="X213" s="8"/>
      <c r="Y213" s="8"/>
    </row>
    <row r="214" spans="2:25" ht="14.5" x14ac:dyDescent="0.35">
      <c r="B214" s="71" t="s">
        <v>8</v>
      </c>
      <c r="C214" s="75"/>
      <c r="D214" s="75"/>
      <c r="E214" s="75"/>
      <c r="F214" s="75"/>
      <c r="G214" s="75"/>
      <c r="H214" s="80">
        <f>IFERROR(GETPIVOTDATA("I min skola är eleverna med och bestämmer trivselregler",pivot!$A$231,"År",2019),)</f>
        <v>76</v>
      </c>
      <c r="I214" s="80">
        <f>IFERROR(GETPIVOTDATA("I min skola är eleverna med och bestämmer trivselregler",pivot!$A$231,"År",2020),)</f>
        <v>96</v>
      </c>
      <c r="J214" s="80">
        <f>IFERROR(GETPIVOTDATA("I min skola är eleverna med och bestämmer trivselregler",pivot!$A$231,"År",2021),)</f>
        <v>93</v>
      </c>
      <c r="K214" s="76">
        <f>IFERROR(GETPIVOTDATA("I min skola är eleverna med och bestämmer trivselregler",pivot!$A$231,"År",2022),)</f>
        <v>95</v>
      </c>
      <c r="L214" s="158">
        <f>IFERROR(GETPIVOTDATA("I min skola är eleverna med och bestämmer trivselregler",pivot!$A$231,"År",2023),)</f>
        <v>88</v>
      </c>
      <c r="M214" s="80">
        <v>88</v>
      </c>
      <c r="N214" s="8"/>
      <c r="O214" s="8"/>
      <c r="P214" s="51"/>
      <c r="Q214" s="51"/>
      <c r="R214" s="51"/>
      <c r="S214" s="8"/>
      <c r="T214" s="8"/>
      <c r="U214" s="8"/>
      <c r="V214" s="8"/>
      <c r="W214" s="8"/>
      <c r="X214" s="8"/>
      <c r="Y214" s="8"/>
    </row>
    <row r="215" spans="2:25" ht="14.5" x14ac:dyDescent="0.35">
      <c r="B215" s="8"/>
      <c r="C215" s="8"/>
      <c r="D215" s="8"/>
      <c r="E215" s="8"/>
      <c r="F215" s="8"/>
      <c r="G215" s="8"/>
      <c r="H215" s="8"/>
      <c r="I215" s="8"/>
      <c r="J215" s="8"/>
      <c r="K215" s="8"/>
      <c r="L215" s="8"/>
      <c r="M215" s="91"/>
      <c r="N215" s="8"/>
      <c r="O215" s="8"/>
      <c r="P215" s="51"/>
      <c r="Q215" s="51"/>
      <c r="R215" s="51"/>
      <c r="S215" s="8"/>
      <c r="T215" s="8"/>
      <c r="U215" s="8"/>
      <c r="V215" s="8"/>
      <c r="W215" s="8"/>
      <c r="X215" s="8"/>
      <c r="Y215" s="8"/>
    </row>
    <row r="216" spans="2:25" ht="14.5" x14ac:dyDescent="0.35">
      <c r="B216" s="8"/>
      <c r="C216" s="8"/>
      <c r="D216" s="8"/>
      <c r="E216" s="8"/>
      <c r="F216" s="8"/>
      <c r="G216" s="8"/>
      <c r="H216" s="8"/>
      <c r="I216" s="8"/>
      <c r="J216" s="8"/>
      <c r="K216" s="8"/>
      <c r="L216" s="8"/>
      <c r="M216" s="91"/>
      <c r="N216" s="8"/>
      <c r="O216" s="8"/>
      <c r="P216" s="51"/>
      <c r="Q216" s="51"/>
      <c r="R216" s="51"/>
      <c r="S216" s="8"/>
      <c r="T216" s="8"/>
      <c r="U216" s="8"/>
      <c r="V216" s="8"/>
      <c r="W216" s="8"/>
      <c r="X216" s="8"/>
      <c r="Y216" s="8"/>
    </row>
    <row r="217" spans="2:25" ht="15.5" x14ac:dyDescent="0.35">
      <c r="B217" s="124" t="s">
        <v>69</v>
      </c>
      <c r="C217" s="8"/>
      <c r="D217" s="8"/>
      <c r="E217" s="8"/>
      <c r="F217" s="8"/>
      <c r="G217" s="8"/>
      <c r="H217" s="8"/>
      <c r="I217" s="8"/>
      <c r="J217" s="8"/>
      <c r="K217" s="8"/>
      <c r="L217" s="8"/>
      <c r="M217" s="91"/>
      <c r="N217" s="8"/>
      <c r="O217" s="8"/>
      <c r="P217" s="51"/>
      <c r="Q217" s="51"/>
      <c r="R217" s="51"/>
      <c r="S217" s="8"/>
      <c r="T217" s="8"/>
      <c r="U217" s="8"/>
      <c r="V217" s="8"/>
      <c r="W217" s="8"/>
      <c r="X217" s="8"/>
      <c r="Y217" s="8"/>
    </row>
    <row r="218" spans="2:25" ht="14.5" x14ac:dyDescent="0.35">
      <c r="B218" s="8"/>
      <c r="C218" s="49"/>
      <c r="D218" s="49"/>
      <c r="E218" s="49"/>
      <c r="F218" s="50"/>
      <c r="G218" s="50"/>
      <c r="I218" s="151"/>
      <c r="J218" s="151"/>
      <c r="K218" s="151"/>
      <c r="L218" s="150" t="str">
        <f>$G$7</f>
        <v>(Alla)</v>
      </c>
      <c r="M218" s="177" t="s">
        <v>6</v>
      </c>
      <c r="N218" s="8"/>
      <c r="O218" s="8"/>
      <c r="P218" s="51"/>
      <c r="Q218" s="51"/>
      <c r="R218" s="51"/>
      <c r="S218" s="8"/>
      <c r="T218" s="8"/>
      <c r="U218" s="8"/>
      <c r="V218" s="8"/>
      <c r="W218" s="8"/>
      <c r="X218" s="8"/>
      <c r="Y218" s="8"/>
    </row>
    <row r="219" spans="2:25" ht="14.5" x14ac:dyDescent="0.35">
      <c r="C219" s="18"/>
      <c r="D219" s="18"/>
      <c r="E219" s="18"/>
      <c r="F219" s="18"/>
      <c r="G219" s="18"/>
      <c r="H219" s="18">
        <v>2019</v>
      </c>
      <c r="I219" s="18">
        <v>2020</v>
      </c>
      <c r="J219" s="18">
        <v>2021</v>
      </c>
      <c r="K219" s="9">
        <v>2022</v>
      </c>
      <c r="L219" s="155">
        <v>2023</v>
      </c>
      <c r="M219" s="30">
        <v>2023</v>
      </c>
      <c r="N219" s="8"/>
      <c r="O219" s="8"/>
      <c r="P219" s="51"/>
      <c r="Q219" s="51"/>
      <c r="R219" s="51"/>
      <c r="S219" s="8"/>
      <c r="T219" s="8"/>
      <c r="U219" s="8"/>
      <c r="V219" s="8"/>
      <c r="W219" s="8"/>
      <c r="X219" s="8"/>
      <c r="Y219" s="8"/>
    </row>
    <row r="220" spans="2:25" ht="14.5" x14ac:dyDescent="0.35">
      <c r="B220" s="71" t="s">
        <v>46</v>
      </c>
      <c r="C220" s="72"/>
      <c r="D220" s="72"/>
      <c r="E220" s="72"/>
      <c r="F220" s="72"/>
      <c r="G220" s="72"/>
      <c r="H220" s="72">
        <f>IFERROR(IF(H$227&lt;7,,((GETPIVOTDATA("Mina lärare säger ifrån om någon behandlas illa eller blir kränkt2",pivot!$I$243,"År",2019,"Mina lärare säger ifrån om någon behandlas illa eller blir kränkt2",1)))),)</f>
        <v>0</v>
      </c>
      <c r="I220" s="72">
        <f>IFERROR(IF(I$227&lt;7,,((GETPIVOTDATA("Mina lärare säger ifrån om någon behandlas illa eller blir kränkt2",pivot!$I$243,"År",2020,"Mina lärare säger ifrån om någon behandlas illa eller blir kränkt2",1)))),)</f>
        <v>3.1578947368421054E-2</v>
      </c>
      <c r="J220" s="72">
        <f>IFERROR(IF(J$227&lt;7,,((GETPIVOTDATA("Mina lärare säger ifrån om någon behandlas illa eller blir kränkt2",pivot!$I$243,"År",2021,"Mina lärare säger ifrån om någon behandlas illa eller blir kränkt2",1)))),)</f>
        <v>5.3763440860215055E-2</v>
      </c>
      <c r="K220" s="73">
        <f>IFERROR(IF(K$227&lt;7,,((GETPIVOTDATA("Mina lärare säger ifrån om någon behandlas illa eller blir kränkt2",pivot!$I$243,"År",2022,"Mina lärare säger ifrån om någon behandlas illa eller blir kränkt2",1)))),)</f>
        <v>3.125E-2</v>
      </c>
      <c r="L220" s="89">
        <f>IFERROR(IF(L$227&lt;7,,((GETPIVOTDATA("Mina lärare säger ifrån om någon behandlas illa eller blir kränkt2",pivot!$I$243,"År",2023,"Mina lärare säger ifrån om någon behandlas illa eller blir kränkt2",1)))),)</f>
        <v>0</v>
      </c>
      <c r="M220" s="72">
        <v>0</v>
      </c>
      <c r="N220" s="8"/>
      <c r="O220" s="8"/>
      <c r="P220" s="51"/>
      <c r="Q220" s="51"/>
      <c r="R220" s="51"/>
      <c r="S220" s="8"/>
      <c r="T220" s="8"/>
      <c r="U220" s="8"/>
      <c r="V220" s="8"/>
      <c r="W220" s="8"/>
      <c r="X220" s="8"/>
      <c r="Y220" s="8"/>
    </row>
    <row r="221" spans="2:25" ht="14.5" x14ac:dyDescent="0.35">
      <c r="B221" s="74">
        <v>2</v>
      </c>
      <c r="C221" s="72"/>
      <c r="D221" s="72"/>
      <c r="E221" s="72"/>
      <c r="F221" s="72"/>
      <c r="G221" s="72"/>
      <c r="H221" s="72">
        <f>IFERROR(IF(H$227&lt;7,,((GETPIVOTDATA("Mina lärare säger ifrån om någon behandlas illa eller blir kränkt2",pivot!$I$243,"År",2019,"Mina lärare säger ifrån om någon behandlas illa eller blir kränkt2",2)))),)</f>
        <v>1.2658227848101266E-2</v>
      </c>
      <c r="I221" s="72">
        <f>IFERROR(IF(I$227&lt;7,,((GETPIVOTDATA("Mina lärare säger ifrån om någon behandlas illa eller blir kränkt2",pivot!$I$243,"År",2020,"Mina lärare säger ifrån om någon behandlas illa eller blir kränkt2",2)))),)</f>
        <v>2.1052631578947368E-2</v>
      </c>
      <c r="J221" s="72">
        <f>IFERROR(IF(J$227&lt;7,,((GETPIVOTDATA("Mina lärare säger ifrån om någon behandlas illa eller blir kränkt2",pivot!$I$243,"År",2021,"Mina lärare säger ifrån om någon behandlas illa eller blir kränkt2",2)))),)</f>
        <v>3.2258064516129031E-2</v>
      </c>
      <c r="K221" s="73">
        <f>IFERROR(IF(K$227&lt;7,,((GETPIVOTDATA("Mina lärare säger ifrån om någon behandlas illa eller blir kränkt2",pivot!$I$243,"År",2022,"Mina lärare säger ifrån om någon behandlas illa eller blir kränkt2",2)))),)</f>
        <v>4.1666666666666664E-2</v>
      </c>
      <c r="L221" s="89">
        <f>IFERROR(IF(L$227&lt;7,,((GETPIVOTDATA("Mina lärare säger ifrån om någon behandlas illa eller blir kränkt2",pivot!$I$243,"År",2023,"Mina lärare säger ifrån om någon behandlas illa eller blir kränkt2",2)))),)</f>
        <v>4.5977011494252873E-2</v>
      </c>
      <c r="M221" s="72">
        <v>4.5977011494252873E-2</v>
      </c>
      <c r="N221" s="8"/>
      <c r="O221" s="8"/>
      <c r="P221" s="51"/>
      <c r="Q221" s="51"/>
      <c r="R221" s="51"/>
      <c r="S221" s="8"/>
      <c r="T221" s="8"/>
      <c r="U221" s="8"/>
      <c r="V221" s="8"/>
      <c r="W221" s="8"/>
      <c r="X221" s="8"/>
      <c r="Y221" s="8"/>
    </row>
    <row r="222" spans="2:25" ht="14.5" x14ac:dyDescent="0.35">
      <c r="B222" s="74">
        <v>3</v>
      </c>
      <c r="C222" s="72"/>
      <c r="D222" s="72"/>
      <c r="E222" s="72"/>
      <c r="F222" s="72"/>
      <c r="G222" s="72"/>
      <c r="H222" s="72">
        <f>IFERROR(IF(H$227&lt;7,,((GETPIVOTDATA("Mina lärare säger ifrån om någon behandlas illa eller blir kränkt2",pivot!$I$243,"År",2019,"Mina lärare säger ifrån om någon behandlas illa eller blir kränkt2",3)))),)</f>
        <v>0.26582278481012656</v>
      </c>
      <c r="I222" s="72">
        <f>IFERROR(IF(I$227&lt;7,,((GETPIVOTDATA("Mina lärare säger ifrån om någon behandlas illa eller blir kränkt2",pivot!$I$243,"År",2020,"Mina lärare säger ifrån om någon behandlas illa eller blir kränkt2",3)))),)</f>
        <v>0.17894736842105263</v>
      </c>
      <c r="J222" s="72">
        <f>IFERROR(IF(J$227&lt;7,,((GETPIVOTDATA("Mina lärare säger ifrån om någon behandlas illa eller blir kränkt2",pivot!$I$243,"År",2021,"Mina lärare säger ifrån om någon behandlas illa eller blir kränkt2",3)))),)</f>
        <v>0.12903225806451613</v>
      </c>
      <c r="K222" s="73">
        <f>IFERROR(IF(K$227&lt;7,,((GETPIVOTDATA("Mina lärare säger ifrån om någon behandlas illa eller blir kränkt2",pivot!$I$243,"År",2022,"Mina lärare säger ifrån om någon behandlas illa eller blir kränkt2",3)))),)</f>
        <v>0.125</v>
      </c>
      <c r="L222" s="89">
        <f>IFERROR(IF(L$227&lt;7,,((GETPIVOTDATA("Mina lärare säger ifrån om någon behandlas illa eller blir kränkt2",pivot!$I$243,"År",2023,"Mina lärare säger ifrån om någon behandlas illa eller blir kränkt2",3)))),)</f>
        <v>0.13793103448275862</v>
      </c>
      <c r="M222" s="72">
        <v>0.13793103448275862</v>
      </c>
      <c r="N222" s="8"/>
      <c r="O222" s="8"/>
      <c r="P222" s="51"/>
      <c r="Q222" s="51"/>
      <c r="R222" s="51"/>
      <c r="S222" s="8"/>
      <c r="T222" s="8"/>
      <c r="U222" s="8"/>
      <c r="V222" s="8"/>
      <c r="W222" s="8"/>
      <c r="X222" s="8"/>
      <c r="Y222" s="8"/>
    </row>
    <row r="223" spans="2:25" ht="14.5" x14ac:dyDescent="0.35">
      <c r="B223" s="74" t="s">
        <v>47</v>
      </c>
      <c r="C223" s="72"/>
      <c r="D223" s="72"/>
      <c r="E223" s="72"/>
      <c r="F223" s="72"/>
      <c r="G223" s="72"/>
      <c r="H223" s="72">
        <f>IFERROR(IF(H$227&lt;7,,((GETPIVOTDATA("Mina lärare säger ifrån om någon behandlas illa eller blir kränkt2",pivot!$I$243,"År",2019,"Mina lärare säger ifrån om någon behandlas illa eller blir kränkt2",4)))),)</f>
        <v>0.67088607594936711</v>
      </c>
      <c r="I223" s="72">
        <f>IFERROR(IF(I$227&lt;7,,((GETPIVOTDATA("Mina lärare säger ifrån om någon behandlas illa eller blir kränkt2",pivot!$I$243,"År",2020,"Mina lärare säger ifrån om någon behandlas illa eller blir kränkt2",4)))),)</f>
        <v>0.69473684210526321</v>
      </c>
      <c r="J223" s="72">
        <f>IFERROR(IF(J$227&lt;7,,((GETPIVOTDATA("Mina lärare säger ifrån om någon behandlas illa eller blir kränkt2",pivot!$I$243,"År",2021,"Mina lärare säger ifrån om någon behandlas illa eller blir kränkt2",4)))),)</f>
        <v>0.72043010752688175</v>
      </c>
      <c r="K223" s="73">
        <f>IFERROR(IF(K$227&lt;7,,((GETPIVOTDATA("Mina lärare säger ifrån om någon behandlas illa eller blir kränkt2",pivot!$I$243,"År",2022,"Mina lärare säger ifrån om någon behandlas illa eller blir kränkt2",4)))),)</f>
        <v>0.73958333333333337</v>
      </c>
      <c r="L223" s="89">
        <f>IFERROR(IF(L$227&lt;7,,((GETPIVOTDATA("Mina lärare säger ifrån om någon behandlas illa eller blir kränkt2",pivot!$I$243,"År",2023,"Mina lärare säger ifrån om någon behandlas illa eller blir kränkt2",4)))),)</f>
        <v>0.7931034482758621</v>
      </c>
      <c r="M223" s="72">
        <v>0.7931034482758621</v>
      </c>
      <c r="N223" s="8"/>
      <c r="O223" s="8"/>
      <c r="P223" s="51"/>
      <c r="Q223" s="51"/>
      <c r="R223" s="51"/>
      <c r="S223" s="8"/>
      <c r="T223" s="8"/>
      <c r="U223" s="8"/>
      <c r="V223" s="8"/>
      <c r="W223" s="8"/>
      <c r="X223" s="8"/>
      <c r="Y223" s="8"/>
    </row>
    <row r="224" spans="2:25" ht="14.5" x14ac:dyDescent="0.35">
      <c r="B224" s="74" t="s">
        <v>2</v>
      </c>
      <c r="C224" s="72"/>
      <c r="D224" s="72"/>
      <c r="E224" s="72"/>
      <c r="F224" s="72"/>
      <c r="G224" s="72"/>
      <c r="H224" s="72">
        <f>IFERROR(IF(H$227&lt;7,,((GETPIVOTDATA("Mina lärare säger ifrån om någon behandlas illa eller blir kränkt2",pivot!$I$243,"År",2019,"Mina lärare säger ifrån om någon behandlas illa eller blir kränkt2",5)))),)</f>
        <v>5.0632911392405063E-2</v>
      </c>
      <c r="I224" s="72">
        <f>IFERROR(IF(I$227&lt;7,,((GETPIVOTDATA("Mina lärare säger ifrån om någon behandlas illa eller blir kränkt2",pivot!$I$243,"År",2020,"Mina lärare säger ifrån om någon behandlas illa eller blir kränkt2",5)))),)</f>
        <v>7.3684210526315783E-2</v>
      </c>
      <c r="J224" s="72">
        <f>IFERROR(IF(J$227&lt;7,,((GETPIVOTDATA("Mina lärare säger ifrån om någon behandlas illa eller blir kränkt2",pivot!$I$243,"År",2021,"Mina lärare säger ifrån om någon behandlas illa eller blir kränkt2",5)))),)</f>
        <v>6.4516129032258063E-2</v>
      </c>
      <c r="K224" s="73">
        <f>IFERROR(IF(K$227&lt;7,,((GETPIVOTDATA("Mina lärare säger ifrån om någon behandlas illa eller blir kränkt2",pivot!$I$243,"År",2022,"Mina lärare säger ifrån om någon behandlas illa eller blir kränkt2",5)))),)</f>
        <v>6.25E-2</v>
      </c>
      <c r="L224" s="89">
        <f>IFERROR(IF(L$227&lt;7,,((GETPIVOTDATA("Mina lärare säger ifrån om någon behandlas illa eller blir kränkt2",pivot!$I$243,"År",2023,"Mina lärare säger ifrån om någon behandlas illa eller blir kränkt2",5)))),)</f>
        <v>2.2988505747126436E-2</v>
      </c>
      <c r="M224" s="72">
        <v>2.2988505747126436E-2</v>
      </c>
      <c r="N224" s="8"/>
      <c r="O224" s="8"/>
      <c r="P224" s="51"/>
      <c r="Q224" s="51"/>
      <c r="R224" s="51"/>
      <c r="S224" s="8"/>
      <c r="T224" s="8"/>
      <c r="U224" s="8"/>
      <c r="V224" s="8"/>
      <c r="W224" s="8"/>
      <c r="X224" s="8"/>
      <c r="Y224" s="8"/>
    </row>
    <row r="225" spans="2:25" ht="14.5" x14ac:dyDescent="0.35">
      <c r="B225" s="71" t="s">
        <v>6</v>
      </c>
      <c r="C225" s="72"/>
      <c r="D225" s="72"/>
      <c r="E225" s="72"/>
      <c r="F225" s="72"/>
      <c r="G225" s="72"/>
      <c r="H225" s="72">
        <f>IFERROR(SUM(H220:H224),"-")</f>
        <v>1</v>
      </c>
      <c r="I225" s="72">
        <f>IFERROR(SUM(I220:I224),"-")</f>
        <v>1</v>
      </c>
      <c r="J225" s="72">
        <f>IFERROR(SUM(J220:J224),"-")</f>
        <v>1</v>
      </c>
      <c r="K225" s="73">
        <f>IFERROR(SUM(K220:K224),"-")</f>
        <v>1</v>
      </c>
      <c r="L225" s="89">
        <f>IFERROR(SUM(L220:L224),"-")</f>
        <v>1</v>
      </c>
      <c r="M225" s="72">
        <v>1</v>
      </c>
      <c r="N225" s="8"/>
      <c r="O225" s="8"/>
      <c r="P225" s="51"/>
      <c r="Q225" s="51"/>
      <c r="R225" s="51"/>
      <c r="S225" s="8"/>
      <c r="T225" s="8"/>
      <c r="U225" s="8"/>
      <c r="V225" s="8"/>
      <c r="W225" s="8"/>
      <c r="X225" s="8"/>
      <c r="Y225" s="8"/>
    </row>
    <row r="226" spans="2:25" ht="14.5" x14ac:dyDescent="0.35">
      <c r="B226" s="103" t="s">
        <v>7</v>
      </c>
      <c r="C226" s="104"/>
      <c r="D226" s="104"/>
      <c r="E226" s="104"/>
      <c r="F226" s="104"/>
      <c r="G226" s="104"/>
      <c r="H226" s="105">
        <f>IFERROR(IF(H$227&lt;7,,((GETPIVOTDATA("Mina lärare säger ifrån om någon behandlas illa eller blir kränkt2",pivot!$P$243,"År",2019)))),)</f>
        <v>3.6933333333333334</v>
      </c>
      <c r="I226" s="105">
        <f>IFERROR(IF(I$227&lt;7,,((GETPIVOTDATA("Mina lärare säger ifrån om någon behandlas illa eller blir kränkt2",pivot!$P$243,"År",2020)))),)</f>
        <v>3.6590909090909092</v>
      </c>
      <c r="J226" s="105">
        <f>IFERROR(IF(J$227&lt;7,,((GETPIVOTDATA("Mina lärare säger ifrån om någon behandlas illa eller blir kränkt2",pivot!$P$243,"År",2021)))),)</f>
        <v>3.6206896551724137</v>
      </c>
      <c r="K226" s="165">
        <f>IFERROR(IF(K$227&lt;7,,((GETPIVOTDATA("Mina lärare säger ifrån om någon behandlas illa eller blir kränkt2",pivot!$P$243,"År",2022)))),)</f>
        <v>3.6777777777777776</v>
      </c>
      <c r="L226" s="148">
        <f>IFERROR(IF(L$227&lt;7,,((GETPIVOTDATA("Mina lärare säger ifrån om någon behandlas illa eller blir kränkt2",pivot!$P$243,"År",2023)))),)</f>
        <v>3.7647058823529411</v>
      </c>
      <c r="M226" s="104">
        <v>3.7647058823529411</v>
      </c>
      <c r="N226" s="8"/>
      <c r="O226" s="8"/>
      <c r="P226" s="51"/>
      <c r="Q226" s="51"/>
      <c r="R226" s="51"/>
      <c r="S226" s="8"/>
      <c r="T226" s="8"/>
      <c r="U226" s="8"/>
      <c r="V226" s="8"/>
      <c r="W226" s="8"/>
      <c r="X226" s="8"/>
      <c r="Y226" s="8"/>
    </row>
    <row r="227" spans="2:25" ht="14.5" x14ac:dyDescent="0.35">
      <c r="B227" s="71" t="s">
        <v>8</v>
      </c>
      <c r="C227" s="75"/>
      <c r="D227" s="75"/>
      <c r="E227" s="75"/>
      <c r="F227" s="75"/>
      <c r="G227" s="75"/>
      <c r="H227" s="80">
        <f>IFERROR(GETPIVOTDATA("Mina lärare säger ifrån om någon behandlas illa eller blir kränkt2",pivot!$A$243,"År",2019),)</f>
        <v>79</v>
      </c>
      <c r="I227" s="80">
        <f>IFERROR(GETPIVOTDATA("Mina lärare säger ifrån om någon behandlas illa eller blir kränkt2",pivot!$A$243,"År",2020),)</f>
        <v>95</v>
      </c>
      <c r="J227" s="80">
        <f>IFERROR(GETPIVOTDATA("Mina lärare säger ifrån om någon behandlas illa eller blir kränkt2",pivot!$A$243,"År",2021),)</f>
        <v>93</v>
      </c>
      <c r="K227" s="76">
        <f>IFERROR(GETPIVOTDATA("Mina lärare säger ifrån om någon behandlas illa eller blir kränkt2",pivot!$A$243,"År",2022),)</f>
        <v>96</v>
      </c>
      <c r="L227" s="158">
        <f>IFERROR(GETPIVOTDATA("Mina lärare säger ifrån om någon behandlas illa eller blir kränkt2",pivot!$A$243,"År",2023),)</f>
        <v>87</v>
      </c>
      <c r="M227" s="80">
        <v>87</v>
      </c>
      <c r="N227" s="8"/>
      <c r="O227" s="8"/>
      <c r="P227" s="51"/>
      <c r="Q227" s="51"/>
      <c r="R227" s="51"/>
      <c r="S227" s="8"/>
      <c r="T227" s="8"/>
      <c r="U227" s="8"/>
      <c r="V227" s="8"/>
      <c r="W227" s="8"/>
      <c r="X227" s="8"/>
      <c r="Y227" s="8"/>
    </row>
    <row r="228" spans="2:25" ht="14.5" x14ac:dyDescent="0.35">
      <c r="B228" s="8"/>
      <c r="C228" s="8"/>
      <c r="D228" s="51"/>
      <c r="E228" s="51"/>
      <c r="F228" s="8"/>
      <c r="G228" s="8"/>
      <c r="H228" s="8"/>
      <c r="I228" s="8"/>
      <c r="J228" s="8"/>
      <c r="K228" s="65"/>
      <c r="L228" s="8"/>
      <c r="M228" s="91"/>
      <c r="N228" s="8"/>
      <c r="O228" s="8"/>
      <c r="P228" s="51"/>
      <c r="Q228" s="51"/>
      <c r="R228" s="51"/>
      <c r="S228" s="8"/>
      <c r="T228" s="8"/>
      <c r="U228" s="8"/>
      <c r="V228" s="8"/>
      <c r="W228" s="8"/>
      <c r="X228" s="8"/>
      <c r="Y228" s="8"/>
    </row>
    <row r="229" spans="2:25" ht="14.5" x14ac:dyDescent="0.35">
      <c r="B229" s="8"/>
      <c r="C229" s="8"/>
      <c r="D229" s="51"/>
      <c r="E229" s="51"/>
      <c r="F229" s="8"/>
      <c r="G229" s="8"/>
      <c r="H229" s="8"/>
      <c r="I229" s="8"/>
      <c r="J229" s="8"/>
      <c r="K229" s="65"/>
      <c r="L229" s="8"/>
      <c r="M229" s="91"/>
      <c r="N229" s="8"/>
      <c r="O229" s="8"/>
      <c r="P229" s="51"/>
      <c r="Q229" s="51"/>
      <c r="R229" s="51"/>
      <c r="S229" s="8"/>
      <c r="T229" s="8"/>
      <c r="U229" s="8"/>
      <c r="V229" s="8"/>
      <c r="W229" s="8"/>
      <c r="X229" s="8"/>
      <c r="Y229" s="8"/>
    </row>
    <row r="230" spans="2:25" ht="15.5" x14ac:dyDescent="0.35">
      <c r="B230" s="124" t="s">
        <v>70</v>
      </c>
      <c r="C230" s="8"/>
      <c r="D230" s="51"/>
      <c r="E230" s="51"/>
      <c r="F230" s="8"/>
      <c r="G230" s="8"/>
      <c r="H230" s="8"/>
      <c r="I230" s="8"/>
      <c r="J230" s="8"/>
      <c r="K230" s="65"/>
      <c r="L230" s="8"/>
      <c r="M230" s="91"/>
      <c r="N230" s="8"/>
      <c r="O230" s="8"/>
      <c r="P230" s="51"/>
      <c r="Q230" s="51"/>
      <c r="R230" s="51"/>
      <c r="S230" s="8"/>
      <c r="T230" s="8"/>
      <c r="U230" s="8"/>
      <c r="V230" s="8"/>
      <c r="W230" s="8"/>
      <c r="X230" s="8"/>
      <c r="Y230" s="8"/>
    </row>
    <row r="231" spans="2:25" ht="14.5" x14ac:dyDescent="0.35">
      <c r="B231" s="8"/>
      <c r="C231" s="49"/>
      <c r="D231" s="50"/>
      <c r="E231" s="50"/>
      <c r="F231" s="50"/>
      <c r="G231" s="50"/>
      <c r="I231" s="151"/>
      <c r="J231" s="151"/>
      <c r="K231" s="15"/>
      <c r="L231" s="150" t="str">
        <f>$G$7</f>
        <v>(Alla)</v>
      </c>
      <c r="M231" s="177" t="s">
        <v>6</v>
      </c>
      <c r="N231" s="8"/>
      <c r="O231" s="8"/>
      <c r="P231" s="51"/>
      <c r="Q231" s="51"/>
      <c r="R231" s="51"/>
      <c r="S231" s="8"/>
      <c r="T231" s="8"/>
      <c r="U231" s="8"/>
      <c r="V231" s="8"/>
      <c r="W231" s="8"/>
      <c r="X231" s="8"/>
      <c r="Y231" s="8"/>
    </row>
    <row r="232" spans="2:25" ht="14.5" x14ac:dyDescent="0.35">
      <c r="C232" s="18"/>
      <c r="D232" s="18"/>
      <c r="E232" s="18"/>
      <c r="F232" s="18"/>
      <c r="G232" s="18"/>
      <c r="H232" s="18">
        <v>2019</v>
      </c>
      <c r="I232" s="18">
        <v>2020</v>
      </c>
      <c r="J232" s="18">
        <v>2021</v>
      </c>
      <c r="K232" s="9">
        <v>2022</v>
      </c>
      <c r="L232" s="155">
        <v>2023</v>
      </c>
      <c r="M232" s="30">
        <v>2023</v>
      </c>
      <c r="N232" s="8"/>
      <c r="O232" s="8"/>
      <c r="P232" s="51"/>
      <c r="Q232" s="51"/>
      <c r="R232" s="51"/>
      <c r="S232" s="8"/>
      <c r="T232" s="8"/>
      <c r="U232" s="8"/>
      <c r="V232" s="8"/>
      <c r="W232" s="8"/>
      <c r="X232" s="8"/>
      <c r="Y232" s="8"/>
    </row>
    <row r="233" spans="2:25" ht="14.5" x14ac:dyDescent="0.35">
      <c r="B233" s="71" t="s">
        <v>46</v>
      </c>
      <c r="C233" s="72"/>
      <c r="D233" s="72"/>
      <c r="E233" s="72"/>
      <c r="F233" s="72"/>
      <c r="G233" s="72"/>
      <c r="H233" s="72">
        <f>IFERROR(IF(H$240&lt;7,,((GETPIVOTDATA("Det är lugnt i klassrummet ",pivot!$I$254,"År",2019,"Det är lugnt i klassrummet ",1)))),)</f>
        <v>7.5949367088607597E-2</v>
      </c>
      <c r="I233" s="72">
        <f>IFERROR(IF(I$240&lt;7,,((GETPIVOTDATA("Det är lugnt i klassrummet ",pivot!$I$254,"År",2020,"Det är lugnt i klassrummet ",1)))),)</f>
        <v>0.125</v>
      </c>
      <c r="J233" s="72">
        <f>IFERROR(IF(J$240&lt;7,,((GETPIVOTDATA("Det är lugnt i klassrummet ",pivot!$I$254,"År",2021,"Det är lugnt i klassrummet ",1)))),)</f>
        <v>8.7912087912087919E-2</v>
      </c>
      <c r="K233" s="73">
        <f>IFERROR(IF(K$240&lt;7,,((GETPIVOTDATA("Det är lugnt i klassrummet ",pivot!$I$254,"År",2022,"Det är lugnt i klassrummet ",1)))),)</f>
        <v>5.2631578947368418E-2</v>
      </c>
      <c r="L233" s="89">
        <f>IFERROR(IF(L$240&lt;7,,((GETPIVOTDATA("Det är lugnt i klassrummet ",pivot!$I$254,"År",2023,"Det är lugnt i klassrummet ",1)))),)</f>
        <v>3.4090909090909088E-2</v>
      </c>
      <c r="M233" s="72">
        <v>3.4090909090909088E-2</v>
      </c>
      <c r="N233" s="8"/>
      <c r="O233" s="8"/>
      <c r="P233" s="51"/>
      <c r="Q233" s="51"/>
      <c r="R233" s="51"/>
      <c r="S233" s="8"/>
      <c r="T233" s="8"/>
      <c r="U233" s="8"/>
      <c r="V233" s="8"/>
      <c r="W233" s="8"/>
      <c r="X233" s="8"/>
      <c r="Y233" s="8"/>
    </row>
    <row r="234" spans="2:25" ht="14.5" x14ac:dyDescent="0.35">
      <c r="B234" s="74">
        <v>2</v>
      </c>
      <c r="C234" s="72"/>
      <c r="D234" s="72"/>
      <c r="E234" s="72"/>
      <c r="F234" s="72"/>
      <c r="G234" s="72"/>
      <c r="H234" s="72">
        <f>IFERROR(IF(H$240&lt;7,,((GETPIVOTDATA("Det är lugnt i klassrummet ",pivot!$I$254,"År",2019,"Det är lugnt i klassrummet ",2)))),)</f>
        <v>0.11392405063291139</v>
      </c>
      <c r="I234" s="72">
        <f>IFERROR(IF(I$240&lt;7,,((GETPIVOTDATA("Det är lugnt i klassrummet ",pivot!$I$254,"År",2020,"Det är lugnt i klassrummet ",2)))),)</f>
        <v>0.19791666666666666</v>
      </c>
      <c r="J234" s="72">
        <f>IFERROR(IF(J$240&lt;7,,((GETPIVOTDATA("Det är lugnt i klassrummet ",pivot!$I$254,"År",2021,"Det är lugnt i klassrummet ",2)))),)</f>
        <v>0.14285714285714285</v>
      </c>
      <c r="K234" s="73">
        <f>IFERROR(IF(K$240&lt;7,,((GETPIVOTDATA("Det är lugnt i klassrummet ",pivot!$I$254,"År",2022,"Det är lugnt i klassrummet ",2)))),)</f>
        <v>0.1368421052631579</v>
      </c>
      <c r="L234" s="89">
        <f>IFERROR(IF(L$240&lt;7,,((GETPIVOTDATA("Det är lugnt i klassrummet ",pivot!$I$254,"År",2023,"Det är lugnt i klassrummet ",2)))),)</f>
        <v>0.13636363636363635</v>
      </c>
      <c r="M234" s="72">
        <v>0.13636363636363635</v>
      </c>
      <c r="N234" s="8"/>
      <c r="O234" s="8"/>
      <c r="P234" s="51"/>
      <c r="Q234" s="51"/>
      <c r="R234" s="51"/>
      <c r="S234" s="8"/>
      <c r="T234" s="8"/>
      <c r="U234" s="8"/>
      <c r="V234" s="8"/>
      <c r="W234" s="8"/>
      <c r="X234" s="8"/>
      <c r="Y234" s="8"/>
    </row>
    <row r="235" spans="2:25" ht="14.5" x14ac:dyDescent="0.35">
      <c r="B235" s="74">
        <v>3</v>
      </c>
      <c r="C235" s="72"/>
      <c r="D235" s="72"/>
      <c r="E235" s="72"/>
      <c r="F235" s="72"/>
      <c r="G235" s="72"/>
      <c r="H235" s="72">
        <f>IFERROR(IF(H$240&lt;7,,((GETPIVOTDATA("Det är lugnt i klassrummet ",pivot!$I$254,"År",2019,"Det är lugnt i klassrummet ",3)))),)</f>
        <v>0.25316455696202533</v>
      </c>
      <c r="I235" s="72">
        <f>IFERROR(IF(I$240&lt;7,,((GETPIVOTDATA("Det är lugnt i klassrummet ",pivot!$I$254,"År",2020,"Det är lugnt i klassrummet ",3)))),)</f>
        <v>0.26041666666666669</v>
      </c>
      <c r="J235" s="72">
        <f>IFERROR(IF(J$240&lt;7,,((GETPIVOTDATA("Det är lugnt i klassrummet ",pivot!$I$254,"År",2021,"Det är lugnt i klassrummet ",3)))),)</f>
        <v>0.35164835164835168</v>
      </c>
      <c r="K235" s="73">
        <f>IFERROR(IF(K$240&lt;7,,((GETPIVOTDATA("Det är lugnt i klassrummet ",pivot!$I$254,"År",2022,"Det är lugnt i klassrummet ",3)))),)</f>
        <v>0.4631578947368421</v>
      </c>
      <c r="L235" s="89">
        <f>IFERROR(IF(L$240&lt;7,,((GETPIVOTDATA("Det är lugnt i klassrummet ",pivot!$I$254,"År",2023,"Det är lugnt i klassrummet ",3)))),)</f>
        <v>0.38636363636363635</v>
      </c>
      <c r="M235" s="72">
        <v>0.38636363636363635</v>
      </c>
      <c r="N235" s="8"/>
      <c r="O235" s="8"/>
      <c r="P235" s="51"/>
      <c r="Q235" s="51"/>
      <c r="R235" s="51"/>
      <c r="S235" s="8"/>
      <c r="T235" s="8"/>
      <c r="U235" s="8"/>
      <c r="V235" s="8"/>
      <c r="W235" s="8"/>
      <c r="X235" s="8"/>
      <c r="Y235" s="8"/>
    </row>
    <row r="236" spans="2:25" ht="14.5" x14ac:dyDescent="0.35">
      <c r="B236" s="74" t="s">
        <v>47</v>
      </c>
      <c r="C236" s="72"/>
      <c r="D236" s="72"/>
      <c r="E236" s="72"/>
      <c r="F236" s="72"/>
      <c r="G236" s="72"/>
      <c r="H236" s="72">
        <f>IFERROR(IF(H$240&lt;7,,((GETPIVOTDATA("Det är lugnt i klassrummet ",pivot!$I$254,"År",2019,"Det är lugnt i klassrummet ",4)))),)</f>
        <v>0.53164556962025311</v>
      </c>
      <c r="I236" s="72">
        <f>IFERROR(IF(I$240&lt;7,,((GETPIVOTDATA("Det är lugnt i klassrummet ",pivot!$I$254,"År",2020,"Det är lugnt i klassrummet ",4)))),)</f>
        <v>0.38541666666666669</v>
      </c>
      <c r="J236" s="72">
        <f>IFERROR(IF(J$240&lt;7,,((GETPIVOTDATA("Det är lugnt i klassrummet ",pivot!$I$254,"År",2021,"Det är lugnt i klassrummet ",4)))),)</f>
        <v>0.38461538461538464</v>
      </c>
      <c r="K236" s="73">
        <f>IFERROR(IF(K$240&lt;7,,((GETPIVOTDATA("Det är lugnt i klassrummet ",pivot!$I$254,"År",2022,"Det är lugnt i klassrummet ",4)))),)</f>
        <v>0.32631578947368423</v>
      </c>
      <c r="L236" s="89">
        <f>IFERROR(IF(L$240&lt;7,,((GETPIVOTDATA("Det är lugnt i klassrummet ",pivot!$I$254,"År",2023,"Det är lugnt i klassrummet ",4)))),)</f>
        <v>0.42045454545454547</v>
      </c>
      <c r="M236" s="72">
        <v>0.42045454545454547</v>
      </c>
      <c r="N236" s="8"/>
      <c r="O236" s="8"/>
      <c r="P236" s="51"/>
      <c r="Q236" s="51"/>
      <c r="R236" s="51"/>
      <c r="S236" s="8"/>
      <c r="T236" s="8"/>
      <c r="U236" s="8"/>
      <c r="V236" s="8"/>
      <c r="W236" s="8"/>
      <c r="X236" s="8"/>
      <c r="Y236" s="8"/>
    </row>
    <row r="237" spans="2:25" ht="14.5" x14ac:dyDescent="0.35">
      <c r="B237" s="74" t="s">
        <v>2</v>
      </c>
      <c r="C237" s="72"/>
      <c r="D237" s="72"/>
      <c r="E237" s="72"/>
      <c r="F237" s="72"/>
      <c r="G237" s="72"/>
      <c r="H237" s="72">
        <f>IFERROR(IF(H$240&lt;7,,((GETPIVOTDATA("Det är lugnt i klassrummet ",pivot!$I$254,"År",2019,"Det är lugnt i klassrummet ",5)))),)</f>
        <v>2.5316455696202531E-2</v>
      </c>
      <c r="I237" s="72">
        <f>IFERROR(IF(I$240&lt;7,,((GETPIVOTDATA("Det är lugnt i klassrummet ",pivot!$I$254,"År",2020,"Det är lugnt i klassrummet ",5)))),)</f>
        <v>3.125E-2</v>
      </c>
      <c r="J237" s="72">
        <f>IFERROR(IF(J$240&lt;7,,((GETPIVOTDATA("Det är lugnt i klassrummet ",pivot!$I$254,"År",2021,"Det är lugnt i klassrummet ",5)))),)</f>
        <v>3.2967032967032968E-2</v>
      </c>
      <c r="K237" s="73">
        <f>IFERROR(IF(K$240&lt;7,,((GETPIVOTDATA("Det är lugnt i klassrummet ",pivot!$I$254,"År",2022,"Det är lugnt i klassrummet ",5)))),)</f>
        <v>2.1052631578947368E-2</v>
      </c>
      <c r="L237" s="89">
        <f>IFERROR(IF(L$240&lt;7,,((GETPIVOTDATA("Det är lugnt i klassrummet ",pivot!$I$254,"År",2023,"Det är lugnt i klassrummet ",5)))),)</f>
        <v>2.2727272727272728E-2</v>
      </c>
      <c r="M237" s="72">
        <v>2.2727272727272728E-2</v>
      </c>
      <c r="N237" s="8"/>
      <c r="O237" s="8"/>
      <c r="P237" s="51"/>
      <c r="Q237" s="51"/>
      <c r="R237" s="51"/>
      <c r="S237" s="8"/>
      <c r="T237" s="8"/>
      <c r="U237" s="8"/>
      <c r="V237" s="8"/>
      <c r="W237" s="8"/>
      <c r="X237" s="8"/>
      <c r="Y237" s="8"/>
    </row>
    <row r="238" spans="2:25" ht="14.5" x14ac:dyDescent="0.35">
      <c r="B238" s="71" t="s">
        <v>6</v>
      </c>
      <c r="C238" s="72"/>
      <c r="D238" s="72"/>
      <c r="E238" s="72"/>
      <c r="F238" s="72"/>
      <c r="G238" s="72"/>
      <c r="H238" s="72">
        <f>IFERROR(SUM(H233:H237),"-")</f>
        <v>1</v>
      </c>
      <c r="I238" s="72">
        <f>IFERROR(SUM(I233:I237),"-")</f>
        <v>1</v>
      </c>
      <c r="J238" s="72">
        <f>IFERROR(SUM(J233:J237),"-")</f>
        <v>1.0000000000000002</v>
      </c>
      <c r="K238" s="73">
        <f>IFERROR(SUM(K233:K237),"-")</f>
        <v>1</v>
      </c>
      <c r="L238" s="89">
        <f>IFERROR(SUM(L233:L237),"-")</f>
        <v>1</v>
      </c>
      <c r="M238" s="72">
        <v>1</v>
      </c>
      <c r="N238" s="8"/>
      <c r="O238" s="8"/>
      <c r="P238" s="51"/>
      <c r="Q238" s="51"/>
      <c r="R238" s="51"/>
      <c r="S238" s="8"/>
      <c r="T238" s="8"/>
      <c r="U238" s="8"/>
      <c r="V238" s="8"/>
      <c r="W238" s="8"/>
      <c r="X238" s="8"/>
      <c r="Y238" s="8"/>
    </row>
    <row r="239" spans="2:25" ht="14.5" x14ac:dyDescent="0.35">
      <c r="B239" s="103" t="s">
        <v>7</v>
      </c>
      <c r="C239" s="104"/>
      <c r="D239" s="104"/>
      <c r="E239" s="104"/>
      <c r="F239" s="104"/>
      <c r="G239" s="104"/>
      <c r="H239" s="105">
        <f>IFERROR(IF(H$240&lt;7,,((GETPIVOTDATA("Det är lugnt i klassrummet ",pivot!$P$254,"År",2019)))),)</f>
        <v>3.2727272727272729</v>
      </c>
      <c r="I239" s="105">
        <f>IFERROR(IF(I$240&lt;7,,((GETPIVOTDATA("Det är lugnt i klassrummet ",pivot!$P$254,"År",2020)))),)</f>
        <v>2.935483870967742</v>
      </c>
      <c r="J239" s="105">
        <f>IFERROR(IF(J$240&lt;7,,((GETPIVOTDATA("Det är lugnt i klassrummet ",pivot!$P$254,"År",2021)))),)</f>
        <v>3.0681818181818183</v>
      </c>
      <c r="K239" s="165">
        <f>IFERROR(IF(K$240&lt;7,,((GETPIVOTDATA("Det är lugnt i klassrummet ",pivot!$P$254,"År",2022)))),)</f>
        <v>3.086021505376344</v>
      </c>
      <c r="L239" s="148">
        <f>IFERROR(IF(L$240&lt;7,,((GETPIVOTDATA("Det är lugnt i klassrummet ",pivot!$P$254,"År",2023)))),)</f>
        <v>3.2209302325581395</v>
      </c>
      <c r="M239" s="104">
        <v>3.2209302325581395</v>
      </c>
      <c r="N239" s="8"/>
      <c r="O239" s="8"/>
      <c r="P239" s="51"/>
      <c r="Q239" s="51"/>
      <c r="R239" s="51"/>
      <c r="S239" s="8"/>
      <c r="T239" s="8"/>
      <c r="U239" s="8"/>
      <c r="V239" s="8"/>
      <c r="W239" s="8"/>
      <c r="X239" s="8"/>
      <c r="Y239" s="8"/>
    </row>
    <row r="240" spans="2:25" ht="14.5" x14ac:dyDescent="0.35">
      <c r="B240" s="71" t="s">
        <v>8</v>
      </c>
      <c r="C240" s="75"/>
      <c r="D240" s="75"/>
      <c r="E240" s="75"/>
      <c r="F240" s="75"/>
      <c r="G240" s="75"/>
      <c r="H240" s="80">
        <f>IFERROR(GETPIVOTDATA("Det är lugnt i klassrummet ",pivot!$A$254,"År",2019),)</f>
        <v>79</v>
      </c>
      <c r="I240" s="80">
        <f>IFERROR(GETPIVOTDATA("Det är lugnt i klassrummet ",pivot!$A$254,"År",2020),)</f>
        <v>96</v>
      </c>
      <c r="J240" s="80">
        <f>IFERROR(GETPIVOTDATA("Det är lugnt i klassrummet ",pivot!$A$254,"År",2021),)</f>
        <v>91</v>
      </c>
      <c r="K240" s="76">
        <f>IFERROR(GETPIVOTDATA("Det är lugnt i klassrummet ",pivot!$A$254,"År",2022),)</f>
        <v>95</v>
      </c>
      <c r="L240" s="158">
        <f>IFERROR(GETPIVOTDATA("Det är lugnt i klassrummet ",pivot!$A$254,"År",2023),)</f>
        <v>88</v>
      </c>
      <c r="M240" s="80">
        <v>88</v>
      </c>
      <c r="N240" s="8"/>
      <c r="O240" s="8"/>
      <c r="P240" s="51"/>
      <c r="Q240" s="51"/>
      <c r="R240" s="51"/>
      <c r="S240" s="8"/>
      <c r="T240" s="8"/>
      <c r="U240" s="8"/>
      <c r="V240" s="8"/>
      <c r="W240" s="8"/>
      <c r="X240" s="8"/>
      <c r="Y240" s="8"/>
    </row>
    <row r="241" spans="2:26" ht="14.5" x14ac:dyDescent="0.35">
      <c r="B241" s="8"/>
      <c r="C241" s="8"/>
      <c r="D241" s="51"/>
      <c r="E241" s="51"/>
      <c r="F241" s="8"/>
      <c r="G241" s="8"/>
      <c r="H241" s="8"/>
      <c r="I241" s="8"/>
      <c r="J241" s="8"/>
      <c r="K241" s="65"/>
      <c r="L241" s="8"/>
      <c r="M241" s="153"/>
      <c r="N241" s="8"/>
      <c r="O241" s="8"/>
      <c r="P241" s="51"/>
      <c r="Q241" s="51"/>
      <c r="R241" s="51"/>
      <c r="S241" s="8"/>
      <c r="T241" s="8"/>
      <c r="U241" s="8"/>
      <c r="V241" s="8"/>
      <c r="W241" s="8"/>
      <c r="X241" s="8"/>
      <c r="Y241" s="8"/>
    </row>
    <row r="242" spans="2:26" ht="8.25" customHeight="1" x14ac:dyDescent="0.35">
      <c r="B242" s="8"/>
      <c r="C242" s="8"/>
      <c r="D242" s="51"/>
      <c r="E242" s="51"/>
      <c r="F242" s="8"/>
      <c r="G242" s="8"/>
      <c r="H242" s="8"/>
      <c r="I242" s="8"/>
      <c r="J242" s="8"/>
      <c r="K242" s="65"/>
      <c r="L242" s="8"/>
      <c r="M242" s="153"/>
      <c r="N242" s="8"/>
      <c r="O242" s="8"/>
      <c r="P242" s="51"/>
      <c r="Q242" s="51"/>
      <c r="R242" s="51"/>
      <c r="S242" s="8"/>
      <c r="T242" s="8"/>
      <c r="U242" s="8"/>
      <c r="V242" s="8"/>
      <c r="W242" s="8"/>
      <c r="X242" s="8"/>
      <c r="Y242" s="8"/>
    </row>
    <row r="243" spans="2:26" ht="15.5" hidden="1" x14ac:dyDescent="0.35">
      <c r="B243" s="53"/>
      <c r="C243" s="8"/>
      <c r="D243" s="51"/>
      <c r="E243" s="51"/>
      <c r="F243" s="8"/>
      <c r="G243" s="8"/>
      <c r="H243" s="8"/>
      <c r="I243" s="8"/>
      <c r="J243" s="8"/>
      <c r="K243" s="65"/>
      <c r="L243" s="8"/>
      <c r="M243" s="153"/>
      <c r="N243" s="8"/>
      <c r="O243" s="8"/>
      <c r="P243" s="51"/>
      <c r="Q243" s="51"/>
      <c r="R243" s="51"/>
      <c r="S243" s="8"/>
      <c r="T243" s="8"/>
      <c r="U243" s="8"/>
      <c r="V243" s="8"/>
      <c r="W243" s="8"/>
      <c r="X243" s="8"/>
      <c r="Y243" s="8"/>
    </row>
    <row r="244" spans="2:26" ht="14.5" hidden="1" x14ac:dyDescent="0.35">
      <c r="B244" s="8"/>
      <c r="C244" s="49"/>
      <c r="D244" s="50"/>
      <c r="E244" s="50"/>
      <c r="F244" s="50"/>
      <c r="G244" s="50"/>
      <c r="H244" s="50"/>
      <c r="I244" s="17"/>
      <c r="J244" s="17"/>
      <c r="L244" s="17"/>
      <c r="M244" s="153"/>
      <c r="N244" s="8"/>
      <c r="O244" s="8"/>
      <c r="P244" s="51"/>
      <c r="Q244" s="51"/>
      <c r="R244" s="51"/>
      <c r="S244" s="8"/>
      <c r="T244" s="8"/>
      <c r="U244" s="8"/>
      <c r="V244" s="8"/>
      <c r="W244" s="8"/>
      <c r="X244" s="8"/>
      <c r="Y244" s="8"/>
    </row>
    <row r="245" spans="2:26" ht="1.5" customHeight="1" x14ac:dyDescent="0.35">
      <c r="B245" s="8"/>
      <c r="C245" s="8"/>
      <c r="D245" s="8"/>
      <c r="E245" s="8"/>
      <c r="F245" s="8"/>
      <c r="G245" s="8"/>
      <c r="H245" s="8"/>
      <c r="I245" s="8"/>
      <c r="J245" s="8"/>
      <c r="K245" s="65"/>
      <c r="L245" s="8"/>
      <c r="M245" s="153"/>
      <c r="N245" s="8"/>
      <c r="O245" s="8"/>
      <c r="P245" s="51"/>
      <c r="Q245" s="51"/>
      <c r="R245" s="51"/>
      <c r="S245" s="8"/>
      <c r="T245" s="8"/>
      <c r="U245" s="8"/>
      <c r="V245" s="8"/>
      <c r="W245" s="8"/>
      <c r="X245" s="8"/>
      <c r="Y245" s="8"/>
    </row>
    <row r="246" spans="2:26" ht="14.5" x14ac:dyDescent="0.35">
      <c r="B246" s="8"/>
      <c r="C246" s="8"/>
      <c r="D246" s="8"/>
      <c r="E246" s="8"/>
      <c r="F246" s="8"/>
      <c r="G246" s="8"/>
      <c r="H246" s="8"/>
      <c r="I246" s="8"/>
      <c r="J246" s="8"/>
      <c r="K246" s="65"/>
      <c r="L246" s="8"/>
      <c r="M246" s="153"/>
      <c r="N246" s="8"/>
      <c r="O246" s="8"/>
      <c r="P246" s="51"/>
      <c r="Q246" s="51"/>
      <c r="R246" s="51"/>
      <c r="S246" s="8"/>
      <c r="T246" s="8"/>
      <c r="U246" s="8"/>
      <c r="V246" s="8"/>
      <c r="W246" s="8"/>
      <c r="X246" s="8"/>
      <c r="Y246" s="8"/>
    </row>
    <row r="247" spans="2:26" ht="15.5" x14ac:dyDescent="0.35">
      <c r="B247" s="124" t="s">
        <v>26</v>
      </c>
      <c r="C247" s="8"/>
      <c r="D247" s="8"/>
      <c r="E247" s="8"/>
      <c r="F247" s="8"/>
      <c r="G247" s="8"/>
      <c r="H247" s="8"/>
      <c r="I247" s="8"/>
      <c r="J247" s="8"/>
      <c r="K247" s="65"/>
      <c r="L247" s="8"/>
      <c r="M247" s="153"/>
      <c r="N247" s="8"/>
      <c r="O247" s="8"/>
      <c r="P247" s="51"/>
      <c r="Q247" s="51"/>
      <c r="R247" s="51"/>
      <c r="S247" s="8"/>
      <c r="T247" s="8"/>
      <c r="U247" s="8"/>
      <c r="V247" s="8"/>
      <c r="W247" s="8"/>
      <c r="X247" s="8"/>
      <c r="Y247" s="8"/>
    </row>
    <row r="248" spans="2:26" ht="14.5" x14ac:dyDescent="0.35">
      <c r="B248" s="8"/>
      <c r="C248" s="49"/>
      <c r="D248" s="50"/>
      <c r="E248" s="50"/>
      <c r="F248" s="50"/>
      <c r="G248" s="50"/>
      <c r="I248" s="151"/>
      <c r="J248" s="151"/>
      <c r="K248" s="15"/>
      <c r="L248" s="150" t="str">
        <f>$G$7</f>
        <v>(Alla)</v>
      </c>
      <c r="M248" s="177" t="s">
        <v>6</v>
      </c>
      <c r="N248" s="8"/>
      <c r="O248" s="8"/>
      <c r="P248" s="51"/>
      <c r="Q248" s="51"/>
      <c r="R248" s="51"/>
      <c r="S248" s="8"/>
      <c r="T248" s="8"/>
      <c r="U248" s="8"/>
      <c r="V248" s="8"/>
      <c r="W248" s="8"/>
      <c r="X248" s="8"/>
      <c r="Y248" s="8"/>
    </row>
    <row r="249" spans="2:26" ht="14.5" x14ac:dyDescent="0.35">
      <c r="C249" s="18"/>
      <c r="D249" s="18"/>
      <c r="E249" s="18"/>
      <c r="F249" s="18"/>
      <c r="G249" s="18"/>
      <c r="H249" s="18">
        <v>2019</v>
      </c>
      <c r="I249" s="18">
        <v>2020</v>
      </c>
      <c r="J249" s="18">
        <v>2021</v>
      </c>
      <c r="K249" s="9">
        <v>2022</v>
      </c>
      <c r="L249" s="155">
        <v>2023</v>
      </c>
      <c r="M249" s="30">
        <v>2023</v>
      </c>
      <c r="N249" s="40"/>
      <c r="O249" s="8"/>
      <c r="P249" s="8"/>
      <c r="Q249" s="51"/>
      <c r="R249" s="51"/>
      <c r="S249" s="51"/>
      <c r="T249" s="8"/>
      <c r="U249" s="8"/>
      <c r="V249" s="8"/>
      <c r="W249" s="8"/>
      <c r="X249" s="8"/>
      <c r="Y249" s="8"/>
      <c r="Z249" s="8"/>
    </row>
    <row r="250" spans="2:26" ht="14.5" x14ac:dyDescent="0.35">
      <c r="B250" s="71" t="s">
        <v>46</v>
      </c>
      <c r="C250" s="72"/>
      <c r="D250" s="72"/>
      <c r="E250" s="72"/>
      <c r="F250" s="72"/>
      <c r="G250" s="72"/>
      <c r="H250" s="72">
        <f>IFERROR(IF(H$257&lt;7,,((GETPIVOTDATA("F22",pivot!$H$45,"År",2019,"F22",1)))),)</f>
        <v>0.68831168831168832</v>
      </c>
      <c r="I250" s="72">
        <f>IFERROR(IF(I$257&lt;7,,((GETPIVOTDATA("F22",pivot!$H$45,"År",2020,"F22",1)))),)</f>
        <v>0.84536082474226804</v>
      </c>
      <c r="J250" s="72">
        <f>IFERROR(IF(J$257&lt;7,,((GETPIVOTDATA("F22",pivot!$H$45,"År",2021,"F22",1)))),)</f>
        <v>0.74193548387096775</v>
      </c>
      <c r="K250" s="73">
        <f>IFERROR(IF(K$257&lt;7,,((GETPIVOTDATA("F22",pivot!$H$45,"År",2022,"F22",1)))),)</f>
        <v>2.0618556701030927E-2</v>
      </c>
      <c r="L250" s="89">
        <f>IFERROR(IF(L$257&lt;7,,((GETPIVOTDATA("F22",pivot!$H$45,"År",2023,"F22",1)))),)</f>
        <v>0.7816091954022989</v>
      </c>
      <c r="M250" s="72">
        <v>0.7816091954022989</v>
      </c>
      <c r="N250" s="8"/>
      <c r="O250" s="8"/>
      <c r="P250" s="8"/>
      <c r="Q250" s="51"/>
      <c r="R250" s="51"/>
      <c r="S250" s="51"/>
      <c r="T250" s="8"/>
      <c r="U250" s="8"/>
      <c r="V250" s="8"/>
      <c r="W250" s="8"/>
      <c r="X250" s="8"/>
      <c r="Y250" s="8"/>
      <c r="Z250" s="8"/>
    </row>
    <row r="251" spans="2:26" ht="14.5" x14ac:dyDescent="0.35">
      <c r="B251" s="74">
        <v>2</v>
      </c>
      <c r="C251" s="72"/>
      <c r="D251" s="72"/>
      <c r="E251" s="72"/>
      <c r="F251" s="72"/>
      <c r="G251" s="72"/>
      <c r="H251" s="72">
        <f>IFERROR(IF(H$257&lt;7,,((GETPIVOTDATA("F22",pivot!$H$45,"År",2019,"F22",2)))),)</f>
        <v>7.792207792207792E-2</v>
      </c>
      <c r="I251" s="72">
        <f>IFERROR(IF(I$257&lt;7,,((GETPIVOTDATA("F22",pivot!$H$45,"År",2020,"F22",2)))),)</f>
        <v>2.0618556701030927E-2</v>
      </c>
      <c r="J251" s="72">
        <f>IFERROR(IF(J$257&lt;7,,((GETPIVOTDATA("F22",pivot!$H$45,"År",2021,"F22",2)))),)</f>
        <v>2.1505376344086023E-2</v>
      </c>
      <c r="K251" s="73">
        <f>IFERROR(IF(K$257&lt;7,,((GETPIVOTDATA("F22",pivot!$H$45,"År",2022,"F22",2)))),)</f>
        <v>0</v>
      </c>
      <c r="L251" s="89">
        <f>IFERROR(IF(L$257&lt;7,,((GETPIVOTDATA("F22",pivot!$H$45,"År",2023,"F22",2)))),)</f>
        <v>3.4482758620689655E-2</v>
      </c>
      <c r="M251" s="72">
        <v>3.4482758620689655E-2</v>
      </c>
      <c r="N251" s="8"/>
      <c r="O251" s="8"/>
      <c r="P251" s="8"/>
      <c r="Q251" s="51"/>
      <c r="R251" s="51"/>
      <c r="S251" s="51"/>
      <c r="T251" s="8"/>
      <c r="U251" s="8"/>
      <c r="V251" s="8"/>
      <c r="W251" s="8"/>
      <c r="X251" s="8"/>
      <c r="Y251" s="8"/>
      <c r="Z251" s="8"/>
    </row>
    <row r="252" spans="2:26" ht="14.5" x14ac:dyDescent="0.35">
      <c r="B252" s="74">
        <v>3</v>
      </c>
      <c r="C252" s="72"/>
      <c r="D252" s="72"/>
      <c r="E252" s="72"/>
      <c r="F252" s="72"/>
      <c r="G252" s="72"/>
      <c r="H252" s="72">
        <f>IFERROR(IF(H$257&lt;7,,((GETPIVOTDATA("F22",pivot!$H$45,"År",2019,"F22",3)))),)</f>
        <v>0.1038961038961039</v>
      </c>
      <c r="I252" s="72">
        <f>IFERROR(IF(I$257&lt;7,,((GETPIVOTDATA("F22",pivot!$H$45,"År",2020,"F22",3)))),)</f>
        <v>2.0618556701030927E-2</v>
      </c>
      <c r="J252" s="72">
        <f>IFERROR(IF(J$257&lt;7,,((GETPIVOTDATA("F22",pivot!$H$45,"År",2021,"F22",3)))),)</f>
        <v>7.5268817204301078E-2</v>
      </c>
      <c r="K252" s="73">
        <f>IFERROR(IF(K$257&lt;7,,((GETPIVOTDATA("F22",pivot!$H$45,"År",2022,"F22",3)))),)</f>
        <v>0.36082474226804123</v>
      </c>
      <c r="L252" s="89">
        <f>IFERROR(IF(L$257&lt;7,,((GETPIVOTDATA("F22",pivot!$H$45,"År",2023,"F22",3)))),)</f>
        <v>8.0459770114942528E-2</v>
      </c>
      <c r="M252" s="72">
        <v>8.0459770114942528E-2</v>
      </c>
      <c r="N252" s="8"/>
      <c r="O252" s="8"/>
      <c r="P252" s="8"/>
      <c r="Q252" s="51"/>
      <c r="R252" s="51"/>
      <c r="S252" s="51"/>
      <c r="T252" s="8"/>
      <c r="U252" s="8"/>
      <c r="V252" s="8"/>
      <c r="W252" s="8"/>
      <c r="X252" s="8"/>
      <c r="Y252" s="8"/>
      <c r="Z252" s="8"/>
    </row>
    <row r="253" spans="2:26" ht="14.5" x14ac:dyDescent="0.35">
      <c r="B253" s="74" t="s">
        <v>47</v>
      </c>
      <c r="C253" s="72"/>
      <c r="D253" s="72"/>
      <c r="E253" s="72"/>
      <c r="F253" s="72"/>
      <c r="G253" s="72"/>
      <c r="H253" s="72">
        <f>IFERROR(IF(H$257&lt;7,,((GETPIVOTDATA("F22",pivot!$H$45,"År",2019,"F22",4)))),)</f>
        <v>7.792207792207792E-2</v>
      </c>
      <c r="I253" s="72">
        <f>IFERROR(IF(I$257&lt;7,,((GETPIVOTDATA("F22",pivot!$H$45,"År",2020,"F22",4)))),)</f>
        <v>6.1855670103092786E-2</v>
      </c>
      <c r="J253" s="72">
        <f>IFERROR(IF(J$257&lt;7,,((GETPIVOTDATA("F22",pivot!$H$45,"År",2021,"F22",4)))),)</f>
        <v>0.10752688172043011</v>
      </c>
      <c r="K253" s="73">
        <f>IFERROR(IF(K$257&lt;7,,((GETPIVOTDATA("F22",pivot!$H$45,"År",2022,"F22",4)))),)</f>
        <v>0.52577319587628868</v>
      </c>
      <c r="L253" s="89">
        <f>IFERROR(IF(L$257&lt;7,,((GETPIVOTDATA("F22",pivot!$H$45,"År",2023,"F22",4)))),)</f>
        <v>8.0459770114942528E-2</v>
      </c>
      <c r="M253" s="72">
        <v>8.0459770114942528E-2</v>
      </c>
      <c r="N253" s="8"/>
      <c r="O253" s="8"/>
      <c r="P253" s="8"/>
      <c r="Q253" s="51"/>
      <c r="R253" s="51"/>
      <c r="S253" s="51"/>
      <c r="T253" s="8"/>
      <c r="U253" s="8"/>
      <c r="V253" s="8"/>
      <c r="W253" s="8"/>
      <c r="X253" s="8"/>
      <c r="Y253" s="8"/>
      <c r="Z253" s="8"/>
    </row>
    <row r="254" spans="2:26" ht="14.5" x14ac:dyDescent="0.35">
      <c r="B254" s="74" t="s">
        <v>2</v>
      </c>
      <c r="C254" s="72"/>
      <c r="D254" s="72"/>
      <c r="E254" s="72"/>
      <c r="F254" s="72"/>
      <c r="G254" s="72"/>
      <c r="H254" s="72">
        <f>IFERROR(IF(H$257&lt;7,,((GETPIVOTDATA("F22",pivot!$H$45,"År",2019,"F22",5)))),)</f>
        <v>5.1948051948051951E-2</v>
      </c>
      <c r="I254" s="72">
        <f>IFERROR(IF(I$257&lt;7,,((GETPIVOTDATA("F22",pivot!$H$45,"År",2020,"F22",5)))),)</f>
        <v>5.1546391752577317E-2</v>
      </c>
      <c r="J254" s="72">
        <f>IFERROR(IF(J$257&lt;7,,((GETPIVOTDATA("F22",pivot!$H$45,"År",2021,"F22",5)))),)</f>
        <v>5.3763440860215055E-2</v>
      </c>
      <c r="K254" s="73">
        <f>IFERROR(IF(K$257&lt;7,,((GETPIVOTDATA("F22",pivot!$H$45,"År",2022,"F22",5)))),)</f>
        <v>9.2783505154639179E-2</v>
      </c>
      <c r="L254" s="89">
        <f>IFERROR(IF(L$257&lt;7,,((GETPIVOTDATA("F22",pivot!$H$45,"År",2023,"F22",5)))),)</f>
        <v>2.2988505747126436E-2</v>
      </c>
      <c r="M254" s="72">
        <v>2.2988505747126436E-2</v>
      </c>
      <c r="N254" s="8"/>
      <c r="O254" s="8"/>
      <c r="P254" s="8"/>
      <c r="Q254" s="51"/>
      <c r="R254" s="51"/>
      <c r="S254" s="51"/>
      <c r="T254" s="8"/>
      <c r="U254" s="8"/>
      <c r="V254" s="8"/>
      <c r="W254" s="8"/>
      <c r="X254" s="8"/>
      <c r="Y254" s="8"/>
      <c r="Z254" s="8"/>
    </row>
    <row r="255" spans="2:26" ht="14.5" x14ac:dyDescent="0.35">
      <c r="B255" s="71" t="s">
        <v>6</v>
      </c>
      <c r="C255" s="72"/>
      <c r="D255" s="72"/>
      <c r="E255" s="72"/>
      <c r="F255" s="72"/>
      <c r="G255" s="72"/>
      <c r="H255" s="72">
        <f t="shared" ref="H255:L255" si="2">IFERROR(SUM(H250:H254),"-")</f>
        <v>1</v>
      </c>
      <c r="I255" s="72">
        <f t="shared" si="2"/>
        <v>1</v>
      </c>
      <c r="J255" s="72">
        <f t="shared" si="2"/>
        <v>1</v>
      </c>
      <c r="K255" s="73">
        <f t="shared" si="2"/>
        <v>1</v>
      </c>
      <c r="L255" s="89">
        <f t="shared" si="2"/>
        <v>1</v>
      </c>
      <c r="M255" s="72">
        <v>1</v>
      </c>
      <c r="N255" s="8"/>
      <c r="O255" s="8"/>
      <c r="P255" s="8"/>
      <c r="Q255" s="51"/>
      <c r="R255" s="51"/>
      <c r="S255" s="51"/>
      <c r="T255" s="8"/>
      <c r="U255" s="8"/>
      <c r="V255" s="8"/>
      <c r="W255" s="8"/>
      <c r="X255" s="8"/>
      <c r="Y255" s="8"/>
      <c r="Z255" s="8"/>
    </row>
    <row r="256" spans="2:26" ht="14.5" x14ac:dyDescent="0.35">
      <c r="B256" s="103" t="s">
        <v>7</v>
      </c>
      <c r="C256" s="104"/>
      <c r="D256" s="104"/>
      <c r="E256" s="104"/>
      <c r="F256" s="104"/>
      <c r="G256" s="104"/>
      <c r="H256" s="105">
        <f>IFERROR(IF(H$257&lt;7,,((GETPIVOTDATA("F22",pivot!$O$45,"År",2019)))),)</f>
        <v>1.547945205479452</v>
      </c>
      <c r="I256" s="105">
        <f>IFERROR(IF(I$257&lt;7,,((GETPIVOTDATA("F22",pivot!$O$45,"År",2020)))),)</f>
        <v>1.2608695652173914</v>
      </c>
      <c r="J256" s="105">
        <f>IFERROR(IF(J$257&lt;7,,((GETPIVOTDATA("F22",pivot!$O$45,"År",2021)))),)</f>
        <v>1.5227272727272727</v>
      </c>
      <c r="K256" s="165">
        <f>IFERROR(IF(K$257&lt;7,,((GETPIVOTDATA("F22",pivot!$O$45,"År",2022)))),)</f>
        <v>3.5340909090909092</v>
      </c>
      <c r="L256" s="148">
        <f>IFERROR(IF(L$257&lt;7,,((GETPIVOTDATA("F22",pivot!$O$45,"År",2023)))),)</f>
        <v>1.4470588235294117</v>
      </c>
      <c r="M256" s="104">
        <v>1.4470588235294117</v>
      </c>
      <c r="N256" s="8"/>
      <c r="O256" s="8"/>
      <c r="P256" s="8"/>
      <c r="Q256" s="51"/>
      <c r="R256" s="51"/>
      <c r="S256" s="51"/>
      <c r="T256" s="8"/>
      <c r="U256" s="8"/>
      <c r="V256" s="8"/>
      <c r="W256" s="8"/>
      <c r="X256" s="8"/>
      <c r="Y256" s="8"/>
      <c r="Z256" s="8"/>
    </row>
    <row r="257" spans="2:26" ht="14.5" x14ac:dyDescent="0.35">
      <c r="B257" s="71" t="s">
        <v>8</v>
      </c>
      <c r="C257" s="75"/>
      <c r="D257" s="75"/>
      <c r="E257" s="75"/>
      <c r="F257" s="75"/>
      <c r="G257" s="80"/>
      <c r="H257" s="80">
        <f>IFERROR(GETPIVOTDATA("F22",pivot!$A$45,"År",2019),)</f>
        <v>77</v>
      </c>
      <c r="I257" s="80">
        <f>IFERROR(GETPIVOTDATA("F22",pivot!$A$45,"År",2020),)</f>
        <v>97</v>
      </c>
      <c r="J257" s="80">
        <f>IFERROR(GETPIVOTDATA("F22",pivot!$A$45,"År",2021),)</f>
        <v>93</v>
      </c>
      <c r="K257" s="76">
        <f>IFERROR(GETPIVOTDATA("F22",pivot!$A$45,"År",2022),)</f>
        <v>97</v>
      </c>
      <c r="L257" s="158">
        <f>IFERROR(GETPIVOTDATA("F22",pivot!$A$45,"År",2023),)</f>
        <v>87</v>
      </c>
      <c r="M257" s="80">
        <v>87</v>
      </c>
      <c r="N257" s="8"/>
      <c r="O257" s="8"/>
      <c r="P257" s="8"/>
      <c r="Q257" s="51"/>
      <c r="R257" s="51"/>
      <c r="S257" s="51"/>
      <c r="T257" s="8"/>
      <c r="U257" s="8"/>
      <c r="V257" s="8"/>
      <c r="W257" s="8"/>
      <c r="X257" s="8"/>
      <c r="Y257" s="8"/>
      <c r="Z257" s="8"/>
    </row>
    <row r="258" spans="2:26" ht="14.5" x14ac:dyDescent="0.35">
      <c r="B258" s="8"/>
      <c r="C258" s="8"/>
      <c r="D258" s="51"/>
      <c r="E258" s="51"/>
      <c r="F258" s="8"/>
      <c r="G258" s="8"/>
      <c r="H258" s="8"/>
      <c r="I258" s="8"/>
      <c r="J258" s="8"/>
      <c r="K258" s="8"/>
      <c r="L258" s="8"/>
      <c r="M258" s="153"/>
      <c r="N258" s="8"/>
      <c r="O258" s="8"/>
      <c r="P258" s="51"/>
      <c r="Q258" s="51"/>
      <c r="R258" s="51"/>
      <c r="S258" s="8"/>
      <c r="T258" s="8"/>
      <c r="U258" s="8"/>
      <c r="V258" s="8"/>
      <c r="W258" s="8"/>
      <c r="X258" s="8"/>
      <c r="Y258" s="8"/>
    </row>
    <row r="259" spans="2:26" ht="14.5" x14ac:dyDescent="0.35">
      <c r="B259" s="8"/>
      <c r="C259" s="8"/>
      <c r="D259" s="51"/>
      <c r="E259" s="51"/>
      <c r="F259" s="8"/>
      <c r="G259" s="8"/>
      <c r="H259" s="8"/>
      <c r="I259" s="8"/>
      <c r="J259" s="8"/>
      <c r="K259" s="8"/>
      <c r="L259" s="8"/>
      <c r="M259" s="153"/>
      <c r="N259" s="8"/>
      <c r="O259" s="8"/>
      <c r="P259" s="51"/>
      <c r="Q259" s="51"/>
      <c r="R259" s="51"/>
      <c r="S259" s="8"/>
      <c r="T259" s="8"/>
      <c r="U259" s="8"/>
      <c r="V259" s="8"/>
      <c r="W259" s="8"/>
      <c r="X259" s="8"/>
      <c r="Y259" s="8"/>
    </row>
    <row r="260" spans="2:26" ht="15.5" x14ac:dyDescent="0.35">
      <c r="B260" s="124" t="s">
        <v>27</v>
      </c>
      <c r="C260" s="8"/>
      <c r="D260" s="51"/>
      <c r="E260" s="51"/>
      <c r="F260" s="8"/>
      <c r="G260" s="8"/>
      <c r="H260" s="8"/>
      <c r="I260" s="8"/>
      <c r="J260" s="8"/>
      <c r="K260" s="8"/>
      <c r="L260" s="8"/>
      <c r="M260" s="153"/>
      <c r="N260" s="8"/>
      <c r="O260" s="8"/>
      <c r="P260" s="51"/>
      <c r="Q260" s="51"/>
      <c r="R260" s="51"/>
      <c r="S260" s="8"/>
      <c r="T260" s="8"/>
      <c r="U260" s="8"/>
      <c r="V260" s="8"/>
      <c r="W260" s="8"/>
      <c r="X260" s="8"/>
      <c r="Y260" s="8"/>
    </row>
    <row r="261" spans="2:26" ht="14.5" x14ac:dyDescent="0.35">
      <c r="B261" s="8"/>
      <c r="C261" s="49"/>
      <c r="D261" s="50"/>
      <c r="E261" s="50"/>
      <c r="F261" s="50"/>
      <c r="G261" s="50"/>
      <c r="I261" s="151"/>
      <c r="J261" s="151"/>
      <c r="K261" s="151"/>
      <c r="L261" s="150" t="str">
        <f>$G$7</f>
        <v>(Alla)</v>
      </c>
      <c r="M261" s="177" t="s">
        <v>6</v>
      </c>
      <c r="N261" s="8"/>
      <c r="O261" s="8"/>
      <c r="P261" s="51"/>
      <c r="Q261" s="51"/>
      <c r="R261" s="51"/>
      <c r="S261" s="8"/>
      <c r="T261" s="8"/>
      <c r="U261" s="8"/>
      <c r="V261" s="8"/>
      <c r="W261" s="8"/>
      <c r="X261" s="8"/>
      <c r="Y261" s="8"/>
    </row>
    <row r="262" spans="2:26" ht="14.5" x14ac:dyDescent="0.35">
      <c r="C262" s="18"/>
      <c r="D262" s="18"/>
      <c r="E262" s="18"/>
      <c r="F262" s="18"/>
      <c r="G262" s="18"/>
      <c r="H262" s="50">
        <v>2019</v>
      </c>
      <c r="I262" s="50">
        <v>2020</v>
      </c>
      <c r="J262" s="50">
        <v>2021</v>
      </c>
      <c r="K262" s="49">
        <v>2022</v>
      </c>
      <c r="L262" s="159">
        <v>2023</v>
      </c>
      <c r="M262" s="30">
        <v>2023</v>
      </c>
      <c r="N262" s="40"/>
      <c r="O262" s="8"/>
      <c r="P262" s="8"/>
      <c r="Q262" s="51"/>
      <c r="R262" s="51"/>
      <c r="S262" s="51"/>
      <c r="T262" s="8"/>
      <c r="U262" s="8"/>
      <c r="V262" s="8"/>
      <c r="W262" s="8"/>
      <c r="X262" s="8"/>
      <c r="Y262" s="8"/>
      <c r="Z262" s="8"/>
    </row>
    <row r="263" spans="2:26" ht="14.5" x14ac:dyDescent="0.35">
      <c r="B263" s="71" t="s">
        <v>46</v>
      </c>
      <c r="C263" s="72"/>
      <c r="D263" s="72"/>
      <c r="E263" s="72"/>
      <c r="F263" s="72"/>
      <c r="G263" s="72"/>
      <c r="H263" s="81">
        <f>IFERROR(IF(H$270&lt;7,,((GETPIVOTDATA("F23",pivot!$H$58,"År",2019,"F23",1)))),)</f>
        <v>0.83544303797468356</v>
      </c>
      <c r="I263" s="81">
        <f>IFERROR(IF(I$270&lt;7,,((GETPIVOTDATA("F23",pivot!$H$58,"År",2020,"F23",1)))),)</f>
        <v>0.875</v>
      </c>
      <c r="J263" s="81">
        <f>IFERROR(IF(J$270&lt;7,,((GETPIVOTDATA("F23",pivot!$H$58,"År",2021,"F23",1)))),)</f>
        <v>0.78260869565217395</v>
      </c>
      <c r="K263" s="170">
        <f>IFERROR(IF(K$270&lt;7,,((GETPIVOTDATA("F23",pivot!$H$58,"År",2022,"F23",1)))),)</f>
        <v>0.80412371134020622</v>
      </c>
      <c r="L263" s="160">
        <f>IFERROR(IF(L$270&lt;7,,((GETPIVOTDATA("F23",pivot!$H$58,"År",2023,"F23",1)))),)</f>
        <v>0.86206896551724133</v>
      </c>
      <c r="M263" s="81">
        <v>0.86206896551724133</v>
      </c>
      <c r="N263" s="8"/>
      <c r="O263" s="8"/>
      <c r="P263" s="8"/>
      <c r="Q263" s="51"/>
      <c r="R263" s="51"/>
      <c r="S263" s="51"/>
      <c r="T263" s="8"/>
      <c r="U263" s="8"/>
      <c r="V263" s="8"/>
      <c r="W263" s="8"/>
      <c r="X263" s="8"/>
      <c r="Y263" s="8"/>
      <c r="Z263" s="8"/>
    </row>
    <row r="264" spans="2:26" ht="14.5" x14ac:dyDescent="0.35">
      <c r="B264" s="74">
        <v>2</v>
      </c>
      <c r="C264" s="72"/>
      <c r="D264" s="72"/>
      <c r="E264" s="72"/>
      <c r="F264" s="72"/>
      <c r="G264" s="72"/>
      <c r="H264" s="81">
        <f>IFERROR(IF(H$270&lt;7,,((GETPIVOTDATA("F23",pivot!$H$58,"År",2019,"F23",2)))),)</f>
        <v>2.5316455696202531E-2</v>
      </c>
      <c r="I264" s="81">
        <f>IFERROR(IF(I$270&lt;7,,((GETPIVOTDATA("F23",pivot!$H$58,"År",2020,"F23",2)))),)</f>
        <v>2.0833333333333332E-2</v>
      </c>
      <c r="J264" s="81">
        <f>IFERROR(IF(J$270&lt;7,,((GETPIVOTDATA("F23",pivot!$H$58,"År",2021,"F23",2)))),)</f>
        <v>3.2608695652173912E-2</v>
      </c>
      <c r="K264" s="170">
        <f>IFERROR(IF(K$270&lt;7,,((GETPIVOTDATA("F23",pivot!$H$58,"År",2022,"F23",2)))),)</f>
        <v>3.0927835051546393E-2</v>
      </c>
      <c r="L264" s="160">
        <f>IFERROR(IF(L$270&lt;7,,((GETPIVOTDATA("F23",pivot!$H$58,"År",2023,"F23",2)))),)</f>
        <v>5.7471264367816091E-2</v>
      </c>
      <c r="M264" s="81">
        <v>5.7471264367816091E-2</v>
      </c>
      <c r="N264" s="8"/>
      <c r="O264" s="8"/>
      <c r="P264" s="8"/>
      <c r="Q264" s="51"/>
      <c r="R264" s="51"/>
      <c r="S264" s="51"/>
      <c r="T264" s="8"/>
      <c r="U264" s="8"/>
      <c r="V264" s="8"/>
      <c r="W264" s="8"/>
      <c r="X264" s="8"/>
      <c r="Y264" s="8"/>
      <c r="Z264" s="8"/>
    </row>
    <row r="265" spans="2:26" ht="14.5" x14ac:dyDescent="0.35">
      <c r="B265" s="74">
        <v>3</v>
      </c>
      <c r="C265" s="72"/>
      <c r="D265" s="72"/>
      <c r="E265" s="72"/>
      <c r="F265" s="72"/>
      <c r="G265" s="72"/>
      <c r="H265" s="81">
        <f>IFERROR(IF(H$270&lt;7,,((GETPIVOTDATA("F23",pivot!$H$58,"År",2019,"F23",3)))),)</f>
        <v>5.0632911392405063E-2</v>
      </c>
      <c r="I265" s="81">
        <f>IFERROR(IF(I$270&lt;7,,((GETPIVOTDATA("F23",pivot!$H$58,"År",2020,"F23",3)))),)</f>
        <v>4.1666666666666664E-2</v>
      </c>
      <c r="J265" s="81">
        <f>IFERROR(IF(J$270&lt;7,,((GETPIVOTDATA("F23",pivot!$H$58,"År",2021,"F23",3)))),)</f>
        <v>6.5217391304347824E-2</v>
      </c>
      <c r="K265" s="170">
        <f>IFERROR(IF(K$270&lt;7,,((GETPIVOTDATA("F23",pivot!$H$58,"År",2022,"F23",3)))),)</f>
        <v>2.0618556701030927E-2</v>
      </c>
      <c r="L265" s="160">
        <f>IFERROR(IF(L$270&lt;7,,((GETPIVOTDATA("F23",pivot!$H$58,"År",2023,"F23",3)))),)</f>
        <v>1.1494252873563218E-2</v>
      </c>
      <c r="M265" s="81">
        <v>1.1494252873563218E-2</v>
      </c>
      <c r="N265" s="8"/>
      <c r="O265" s="8"/>
      <c r="P265" s="8"/>
      <c r="Q265" s="51"/>
      <c r="R265" s="51"/>
      <c r="S265" s="51"/>
      <c r="T265" s="8"/>
      <c r="U265" s="8"/>
      <c r="V265" s="8"/>
      <c r="W265" s="8"/>
      <c r="X265" s="8"/>
      <c r="Y265" s="8"/>
      <c r="Z265" s="8"/>
    </row>
    <row r="266" spans="2:26" ht="14.5" x14ac:dyDescent="0.35">
      <c r="B266" s="74" t="s">
        <v>47</v>
      </c>
      <c r="C266" s="72"/>
      <c r="D266" s="72"/>
      <c r="E266" s="72"/>
      <c r="F266" s="72"/>
      <c r="G266" s="72"/>
      <c r="H266" s="81">
        <f>IFERROR(IF(H$270&lt;7,,((GETPIVOTDATA("F23",pivot!$H$58,"År",2019,"F23",4)))),)</f>
        <v>6.3291139240506333E-2</v>
      </c>
      <c r="I266" s="81">
        <f>IFERROR(IF(I$270&lt;7,,((GETPIVOTDATA("F23",pivot!$H$58,"År",2020,"F23",4)))),)</f>
        <v>2.0833333333333332E-2</v>
      </c>
      <c r="J266" s="81">
        <f>IFERROR(IF(J$270&lt;7,,((GETPIVOTDATA("F23",pivot!$H$58,"År",2021,"F23",4)))),)</f>
        <v>6.5217391304347824E-2</v>
      </c>
      <c r="K266" s="170">
        <f>IFERROR(IF(K$270&lt;7,,((GETPIVOTDATA("F23",pivot!$H$58,"År",2022,"F23",4)))),)</f>
        <v>0.10309278350515463</v>
      </c>
      <c r="L266" s="160">
        <f>IFERROR(IF(L$270&lt;7,,((GETPIVOTDATA("F23",pivot!$H$58,"År",2023,"F23",4)))),)</f>
        <v>5.7471264367816091E-2</v>
      </c>
      <c r="M266" s="81">
        <v>5.7471264367816091E-2</v>
      </c>
      <c r="N266" s="8"/>
      <c r="O266" s="8"/>
      <c r="P266" s="8"/>
      <c r="Q266" s="51"/>
      <c r="R266" s="51"/>
      <c r="S266" s="51"/>
      <c r="T266" s="8"/>
      <c r="U266" s="8"/>
      <c r="V266" s="8"/>
      <c r="W266" s="8"/>
      <c r="X266" s="8"/>
      <c r="Y266" s="8"/>
      <c r="Z266" s="8"/>
    </row>
    <row r="267" spans="2:26" ht="14.5" x14ac:dyDescent="0.35">
      <c r="B267" s="74" t="s">
        <v>2</v>
      </c>
      <c r="C267" s="72"/>
      <c r="D267" s="72"/>
      <c r="E267" s="72"/>
      <c r="F267" s="72"/>
      <c r="G267" s="72"/>
      <c r="H267" s="81">
        <f>IFERROR(IF(H$270&lt;7,,((GETPIVOTDATA("F23",pivot!$H$58,"År",2019,"F23",5)))),)</f>
        <v>2.5316455696202531E-2</v>
      </c>
      <c r="I267" s="81">
        <f>IFERROR(IF(I$270&lt;7,,((GETPIVOTDATA("F23",pivot!$H$58,"År",2020,"F23",5)))),)</f>
        <v>4.1666666666666664E-2</v>
      </c>
      <c r="J267" s="81">
        <f>IFERROR(IF(J$270&lt;7,,((GETPIVOTDATA("F23",pivot!$H$58,"År",2021,"F23",5)))),)</f>
        <v>5.434782608695652E-2</v>
      </c>
      <c r="K267" s="170">
        <f>IFERROR(IF(K$270&lt;7,,((GETPIVOTDATA("F23",pivot!$H$58,"År",2022,"F23",5)))),)</f>
        <v>4.1237113402061855E-2</v>
      </c>
      <c r="L267" s="160">
        <f>IFERROR(IF(L$270&lt;7,,((GETPIVOTDATA("F23",pivot!$H$58,"År",2023,"F23",5)))),)</f>
        <v>1.1494252873563218E-2</v>
      </c>
      <c r="M267" s="81">
        <v>1.1494252873563218E-2</v>
      </c>
      <c r="N267" s="8"/>
      <c r="O267" s="8"/>
      <c r="P267" s="8"/>
      <c r="Q267" s="51"/>
      <c r="R267" s="51"/>
      <c r="S267" s="51"/>
      <c r="T267" s="8"/>
      <c r="U267" s="8"/>
      <c r="V267" s="8"/>
      <c r="W267" s="8"/>
      <c r="X267" s="8"/>
      <c r="Y267" s="8"/>
      <c r="Z267" s="8"/>
    </row>
    <row r="268" spans="2:26" ht="14.5" x14ac:dyDescent="0.35">
      <c r="B268" s="71" t="s">
        <v>6</v>
      </c>
      <c r="C268" s="72"/>
      <c r="D268" s="72"/>
      <c r="E268" s="72"/>
      <c r="F268" s="72"/>
      <c r="G268" s="72"/>
      <c r="H268" s="81">
        <f t="shared" ref="H268:L268" si="3">IFERROR(SUM(H263:H267),"-")</f>
        <v>1</v>
      </c>
      <c r="I268" s="81">
        <f t="shared" si="3"/>
        <v>1</v>
      </c>
      <c r="J268" s="81">
        <f t="shared" si="3"/>
        <v>1</v>
      </c>
      <c r="K268" s="170">
        <f t="shared" si="3"/>
        <v>1</v>
      </c>
      <c r="L268" s="160">
        <f t="shared" si="3"/>
        <v>1</v>
      </c>
      <c r="M268" s="81">
        <v>1</v>
      </c>
      <c r="N268" s="8"/>
      <c r="O268" s="8"/>
      <c r="P268" s="8"/>
      <c r="Q268" s="51"/>
      <c r="R268" s="51"/>
      <c r="S268" s="51"/>
      <c r="T268" s="8"/>
      <c r="U268" s="8"/>
      <c r="V268" s="8"/>
      <c r="W268" s="8"/>
      <c r="X268" s="8"/>
      <c r="Y268" s="8"/>
      <c r="Z268" s="8"/>
    </row>
    <row r="269" spans="2:26" ht="14.5" x14ac:dyDescent="0.35">
      <c r="B269" s="103" t="s">
        <v>7</v>
      </c>
      <c r="C269" s="104"/>
      <c r="D269" s="104"/>
      <c r="E269" s="104"/>
      <c r="F269" s="104"/>
      <c r="G269" s="104"/>
      <c r="H269" s="105">
        <f>IFERROR(IF(H$270&lt;7,,((GETPIVOTDATA("F23",pivot!$O$58,"År",2019)))),)</f>
        <v>1.3246753246753247</v>
      </c>
      <c r="I269" s="105">
        <f>IFERROR(IF(I$270&lt;7,,((GETPIVOTDATA("F23",pivot!$O$58,"År",2020)))),)</f>
        <v>1.173913043478261</v>
      </c>
      <c r="J269" s="105">
        <f>IFERROR(IF(J$270&lt;7,,((GETPIVOTDATA("F23",pivot!$O$58,"År",2021)))),)</f>
        <v>1.3793103448275863</v>
      </c>
      <c r="K269" s="165">
        <f>IFERROR(IF(K$270&lt;7,,((GETPIVOTDATA("F23",pivot!$O$58,"År",2022)))),)</f>
        <v>1.3978494623655915</v>
      </c>
      <c r="L269" s="148">
        <f>IFERROR(IF(L$270&lt;7,,((GETPIVOTDATA("F23",pivot!$O$58,"År",2023)))),)</f>
        <v>1.2558139534883721</v>
      </c>
      <c r="M269" s="104">
        <v>1.2558139534883721</v>
      </c>
      <c r="N269" s="8"/>
      <c r="O269" s="8"/>
      <c r="P269" s="8"/>
      <c r="Q269" s="51"/>
      <c r="R269" s="51"/>
      <c r="S269" s="51"/>
      <c r="T269" s="8"/>
      <c r="U269" s="8"/>
      <c r="V269" s="8"/>
      <c r="W269" s="8"/>
      <c r="X269" s="8"/>
      <c r="Y269" s="8"/>
      <c r="Z269" s="8"/>
    </row>
    <row r="270" spans="2:26" ht="14.5" x14ac:dyDescent="0.35">
      <c r="B270" s="71" t="s">
        <v>8</v>
      </c>
      <c r="C270" s="75"/>
      <c r="D270" s="75"/>
      <c r="E270" s="75"/>
      <c r="F270" s="75"/>
      <c r="G270" s="80"/>
      <c r="H270" s="82">
        <f>IFERROR(GETPIVOTDATA("F23",pivot!$A$58,"År",2019),)</f>
        <v>79</v>
      </c>
      <c r="I270" s="82">
        <f>IFERROR(GETPIVOTDATA("F23",pivot!$A$58,"År",2020),)</f>
        <v>96</v>
      </c>
      <c r="J270" s="82">
        <f>IFERROR(GETPIVOTDATA("F23",pivot!$A$58,"År",2021),)</f>
        <v>92</v>
      </c>
      <c r="K270" s="171">
        <f>IFERROR(GETPIVOTDATA("F23",pivot!$A$58,"År",2022),)</f>
        <v>97</v>
      </c>
      <c r="L270" s="161">
        <f>IFERROR(GETPIVOTDATA("F23",pivot!$A$58,"År",2023),)</f>
        <v>87</v>
      </c>
      <c r="M270" s="82">
        <v>87</v>
      </c>
      <c r="N270" s="8"/>
      <c r="O270" s="8"/>
      <c r="P270" s="8"/>
      <c r="Q270" s="51"/>
      <c r="R270" s="51"/>
      <c r="S270" s="51"/>
      <c r="T270" s="8"/>
      <c r="U270" s="8"/>
      <c r="V270" s="8"/>
      <c r="W270" s="8"/>
      <c r="X270" s="8"/>
      <c r="Y270" s="8"/>
      <c r="Z270" s="8"/>
    </row>
    <row r="271" spans="2:26" ht="14.5" x14ac:dyDescent="0.35">
      <c r="B271" s="8"/>
      <c r="C271" s="8"/>
      <c r="D271" s="51"/>
      <c r="E271" s="51"/>
      <c r="F271" s="8"/>
      <c r="G271" s="8"/>
      <c r="H271" s="8"/>
      <c r="I271" s="8"/>
      <c r="J271" s="8"/>
      <c r="K271" s="65"/>
      <c r="L271" s="8"/>
      <c r="M271" s="153"/>
      <c r="N271" s="8"/>
      <c r="O271" s="8"/>
      <c r="P271" s="51"/>
      <c r="Q271" s="51"/>
      <c r="R271" s="51"/>
      <c r="S271" s="8"/>
      <c r="T271" s="8"/>
      <c r="U271" s="8"/>
      <c r="V271" s="8"/>
      <c r="W271" s="8"/>
      <c r="X271" s="8"/>
      <c r="Y271" s="8"/>
    </row>
    <row r="272" spans="2:26" ht="14.5" x14ac:dyDescent="0.35">
      <c r="B272" s="8"/>
      <c r="C272" s="8"/>
      <c r="D272" s="51"/>
      <c r="E272" s="51"/>
      <c r="F272" s="8"/>
      <c r="G272" s="8"/>
      <c r="H272" s="8"/>
      <c r="I272" s="8"/>
      <c r="J272" s="8"/>
      <c r="K272" s="65"/>
      <c r="L272" s="8"/>
      <c r="M272" s="153"/>
      <c r="N272" s="8"/>
      <c r="O272" s="8"/>
      <c r="P272" s="51"/>
      <c r="Q272" s="51"/>
      <c r="R272" s="51"/>
      <c r="S272" s="8"/>
      <c r="T272" s="8"/>
      <c r="U272" s="8"/>
      <c r="V272" s="8"/>
      <c r="W272" s="8"/>
      <c r="X272" s="8"/>
      <c r="Y272" s="8"/>
    </row>
    <row r="273" spans="2:26" ht="15.5" x14ac:dyDescent="0.35">
      <c r="B273" s="124" t="s">
        <v>3</v>
      </c>
      <c r="C273" s="8"/>
      <c r="D273" s="51"/>
      <c r="E273" s="51"/>
      <c r="F273" s="8"/>
      <c r="G273" s="8"/>
      <c r="I273" s="151"/>
      <c r="J273" s="151"/>
      <c r="K273" s="15"/>
      <c r="L273" s="150" t="str">
        <f>$G$7</f>
        <v>(Alla)</v>
      </c>
      <c r="M273" s="177" t="s">
        <v>6</v>
      </c>
      <c r="N273" s="8"/>
      <c r="O273" s="8"/>
      <c r="P273" s="51"/>
      <c r="Q273" s="51"/>
      <c r="R273" s="51"/>
      <c r="S273" s="8"/>
      <c r="T273" s="8"/>
      <c r="U273" s="8"/>
      <c r="V273" s="8"/>
      <c r="W273" s="8"/>
      <c r="X273" s="8"/>
      <c r="Y273" s="8"/>
    </row>
    <row r="274" spans="2:26" ht="5.25" customHeight="1" x14ac:dyDescent="0.35">
      <c r="B274" s="8"/>
      <c r="C274" s="49"/>
      <c r="D274" s="50"/>
      <c r="E274" s="50"/>
      <c r="F274" s="50"/>
      <c r="G274" s="50"/>
      <c r="H274" s="17"/>
      <c r="I274" s="17"/>
      <c r="J274" s="17"/>
      <c r="L274" s="17"/>
      <c r="M274" s="153"/>
      <c r="N274" s="8"/>
      <c r="O274" s="8"/>
      <c r="P274" s="51"/>
      <c r="Q274" s="51"/>
      <c r="R274" s="51"/>
      <c r="S274" s="8"/>
      <c r="T274" s="8"/>
      <c r="U274" s="8"/>
      <c r="V274" s="8"/>
      <c r="W274" s="8"/>
      <c r="X274" s="8"/>
      <c r="Y274" s="8"/>
    </row>
    <row r="275" spans="2:26" ht="14.5" x14ac:dyDescent="0.35">
      <c r="C275" s="18"/>
      <c r="D275" s="18"/>
      <c r="E275" s="18"/>
      <c r="F275" s="18"/>
      <c r="G275" s="18"/>
      <c r="H275" s="18">
        <v>2019</v>
      </c>
      <c r="I275" s="18">
        <v>2020</v>
      </c>
      <c r="J275" s="18">
        <v>2021</v>
      </c>
      <c r="K275" s="9">
        <v>2022</v>
      </c>
      <c r="L275" s="155">
        <v>2023</v>
      </c>
      <c r="M275" s="30">
        <v>2023</v>
      </c>
      <c r="N275" s="8"/>
      <c r="O275" s="8"/>
      <c r="P275" s="8"/>
      <c r="Q275" s="51"/>
      <c r="R275" s="51"/>
      <c r="S275" s="51"/>
      <c r="T275" s="8"/>
      <c r="U275" s="8"/>
      <c r="V275" s="8"/>
      <c r="W275" s="8"/>
      <c r="X275" s="8"/>
      <c r="Y275" s="8"/>
      <c r="Z275" s="8"/>
    </row>
    <row r="276" spans="2:26" ht="14.5" x14ac:dyDescent="0.35">
      <c r="B276" s="71" t="s">
        <v>46</v>
      </c>
      <c r="C276" s="72"/>
      <c r="D276" s="72"/>
      <c r="E276" s="72"/>
      <c r="F276" s="72"/>
      <c r="G276" s="72"/>
      <c r="H276" s="72">
        <f>IFERROR(IF(H$283&lt;7,,((GETPIVOTDATA("F24",pivot!$H$71,"År",2019,"F24",1)))),)</f>
        <v>5.0632911392405063E-2</v>
      </c>
      <c r="I276" s="72">
        <f>IFERROR(IF(I$283&lt;7,,((GETPIVOTDATA("F24",pivot!$H$71,"År",2020,"F24",1)))),)</f>
        <v>7.2164948453608241E-2</v>
      </c>
      <c r="J276" s="72">
        <f>IFERROR(IF(J$283&lt;7,,((GETPIVOTDATA("F24",pivot!$H$71,"År",2021,"F24",1)))),)</f>
        <v>7.3684210526315783E-2</v>
      </c>
      <c r="K276" s="73">
        <f>IFERROR(IF(K$283&lt;7,,((GETPIVOTDATA("F24",pivot!$H$71,"År",2022,"F24",1)))),)</f>
        <v>2.0408163265306121E-2</v>
      </c>
      <c r="L276" s="89">
        <f>IFERROR(IF(L$283&lt;7,,((GETPIVOTDATA("F24",pivot!$H$71,"År",2023,"F24",1)))),)</f>
        <v>3.4482758620689655E-2</v>
      </c>
      <c r="M276" s="72">
        <v>3.4482758620689655E-2</v>
      </c>
      <c r="N276" s="40"/>
      <c r="O276" s="56"/>
      <c r="P276" s="8"/>
      <c r="Q276" s="51"/>
      <c r="R276" s="51"/>
      <c r="S276" s="51"/>
      <c r="T276" s="8"/>
      <c r="U276" s="8"/>
      <c r="V276" s="8"/>
      <c r="W276" s="8"/>
      <c r="X276" s="8"/>
      <c r="Y276" s="8"/>
      <c r="Z276" s="8"/>
    </row>
    <row r="277" spans="2:26" ht="14.5" x14ac:dyDescent="0.35">
      <c r="B277" s="74">
        <v>2</v>
      </c>
      <c r="C277" s="72"/>
      <c r="D277" s="72"/>
      <c r="E277" s="72"/>
      <c r="F277" s="72"/>
      <c r="G277" s="72"/>
      <c r="H277" s="72">
        <f>IFERROR(IF(H$283&lt;7,,((GETPIVOTDATA("F24",pivot!$H$71,"År",2019,"F24",2)))),)</f>
        <v>3.7974683544303799E-2</v>
      </c>
      <c r="I277" s="72">
        <f>IFERROR(IF(I$283&lt;7,,((GETPIVOTDATA("F24",pivot!$H$71,"År",2020,"F24",2)))),)</f>
        <v>5.1546391752577317E-2</v>
      </c>
      <c r="J277" s="72">
        <f>IFERROR(IF(J$283&lt;7,,((GETPIVOTDATA("F24",pivot!$H$71,"År",2021,"F24",2)))),)</f>
        <v>1.0526315789473684E-2</v>
      </c>
      <c r="K277" s="73">
        <f>IFERROR(IF(K$283&lt;7,,((GETPIVOTDATA("F24",pivot!$H$71,"År",2022,"F24",2)))),)</f>
        <v>4.0816326530612242E-2</v>
      </c>
      <c r="L277" s="89">
        <f>IFERROR(IF(L$283&lt;7,,((GETPIVOTDATA("F24",pivot!$H$71,"År",2023,"F24",2)))),)</f>
        <v>1.1494252873563218E-2</v>
      </c>
      <c r="M277" s="72">
        <v>1.1494252873563218E-2</v>
      </c>
      <c r="N277" s="8"/>
      <c r="O277" s="8"/>
      <c r="P277" s="8"/>
      <c r="Q277" s="51"/>
      <c r="R277" s="51"/>
      <c r="S277" s="51"/>
      <c r="T277" s="8"/>
      <c r="U277" s="8"/>
      <c r="V277" s="8"/>
      <c r="W277" s="8"/>
      <c r="X277" s="8"/>
      <c r="Y277" s="8"/>
      <c r="Z277" s="8"/>
    </row>
    <row r="278" spans="2:26" ht="14.5" x14ac:dyDescent="0.35">
      <c r="B278" s="74">
        <v>3</v>
      </c>
      <c r="C278" s="72"/>
      <c r="D278" s="72"/>
      <c r="E278" s="72"/>
      <c r="F278" s="72"/>
      <c r="G278" s="72"/>
      <c r="H278" s="72">
        <f>IFERROR(IF(H$283&lt;7,,((GETPIVOTDATA("F24",pivot!$H$71,"År",2019,"F24",3)))),)</f>
        <v>0.16455696202531644</v>
      </c>
      <c r="I278" s="72">
        <f>IFERROR(IF(I$283&lt;7,,((GETPIVOTDATA("F24",pivot!$H$71,"År",2020,"F24",3)))),)</f>
        <v>0.19587628865979381</v>
      </c>
      <c r="J278" s="72">
        <f>IFERROR(IF(J$283&lt;7,,((GETPIVOTDATA("F24",pivot!$H$71,"År",2021,"F24",3)))),)</f>
        <v>0.24210526315789474</v>
      </c>
      <c r="K278" s="73">
        <f>IFERROR(IF(K$283&lt;7,,((GETPIVOTDATA("F24",pivot!$H$71,"År",2022,"F24",3)))),)</f>
        <v>0.19387755102040816</v>
      </c>
      <c r="L278" s="89">
        <f>IFERROR(IF(L$283&lt;7,,((GETPIVOTDATA("F24",pivot!$H$71,"År",2023,"F24",3)))),)</f>
        <v>0.27586206896551724</v>
      </c>
      <c r="M278" s="72">
        <v>0.27586206896551724</v>
      </c>
      <c r="N278" s="8"/>
      <c r="O278" s="8"/>
      <c r="P278" s="8"/>
      <c r="Q278" s="51"/>
      <c r="R278" s="51"/>
      <c r="S278" s="51"/>
      <c r="T278" s="8"/>
      <c r="U278" s="8"/>
      <c r="V278" s="8"/>
      <c r="W278" s="8"/>
      <c r="X278" s="8"/>
      <c r="Y278" s="8"/>
      <c r="Z278" s="8"/>
    </row>
    <row r="279" spans="2:26" ht="14.5" x14ac:dyDescent="0.35">
      <c r="B279" s="74" t="s">
        <v>47</v>
      </c>
      <c r="C279" s="72"/>
      <c r="D279" s="72"/>
      <c r="E279" s="72"/>
      <c r="F279" s="72"/>
      <c r="G279" s="72"/>
      <c r="H279" s="72">
        <f>IFERROR(IF(H$283&lt;7,,((GETPIVOTDATA("F24",pivot!$H$71,"År",2019,"F24",4)))),)</f>
        <v>0.73417721518987344</v>
      </c>
      <c r="I279" s="72">
        <f>IFERROR(IF(I$283&lt;7,,((GETPIVOTDATA("F24",pivot!$H$71,"År",2020,"F24",4)))),)</f>
        <v>0.64948453608247425</v>
      </c>
      <c r="J279" s="72">
        <f>IFERROR(IF(J$283&lt;7,,((GETPIVOTDATA("F24",pivot!$H$71,"År",2021,"F24",4)))),)</f>
        <v>0.64210526315789473</v>
      </c>
      <c r="K279" s="73">
        <f>IFERROR(IF(K$283&lt;7,,((GETPIVOTDATA("F24",pivot!$H$71,"År",2022,"F24",4)))),)</f>
        <v>0.7142857142857143</v>
      </c>
      <c r="L279" s="89">
        <f>IFERROR(IF(L$283&lt;7,,((GETPIVOTDATA("F24",pivot!$H$71,"År",2023,"F24",4)))),)</f>
        <v>0.65517241379310343</v>
      </c>
      <c r="M279" s="72">
        <v>0.65517241379310343</v>
      </c>
      <c r="N279" s="8"/>
      <c r="O279" s="8"/>
      <c r="P279" s="8"/>
      <c r="Q279" s="51"/>
      <c r="R279" s="51"/>
      <c r="S279" s="51"/>
      <c r="T279" s="8"/>
      <c r="U279" s="8"/>
      <c r="V279" s="8"/>
      <c r="W279" s="8"/>
      <c r="X279" s="8"/>
      <c r="Y279" s="8"/>
      <c r="Z279" s="8"/>
    </row>
    <row r="280" spans="2:26" ht="14.5" x14ac:dyDescent="0.35">
      <c r="B280" s="74" t="s">
        <v>2</v>
      </c>
      <c r="C280" s="72"/>
      <c r="D280" s="72"/>
      <c r="E280" s="72"/>
      <c r="F280" s="72"/>
      <c r="G280" s="72"/>
      <c r="H280" s="72">
        <f>IFERROR(IF(H$283&lt;7,,((GETPIVOTDATA("F24",pivot!$H$71,"År",2019,"F24",5)))),)</f>
        <v>1.2658227848101266E-2</v>
      </c>
      <c r="I280" s="72">
        <f>IFERROR(IF(I$283&lt;7,,((GETPIVOTDATA("F24",pivot!$H$71,"År",2020,"F24",5)))),)</f>
        <v>3.0927835051546393E-2</v>
      </c>
      <c r="J280" s="72">
        <f>IFERROR(IF(J$283&lt;7,,((GETPIVOTDATA("F24",pivot!$H$71,"År",2021,"F24",5)))),)</f>
        <v>3.1578947368421054E-2</v>
      </c>
      <c r="K280" s="73">
        <f>IFERROR(IF(K$283&lt;7,,((GETPIVOTDATA("F24",pivot!$H$71,"År",2022,"F24",5)))),)</f>
        <v>3.0612244897959183E-2</v>
      </c>
      <c r="L280" s="89">
        <f>IFERROR(IF(L$283&lt;7,,((GETPIVOTDATA("F24",pivot!$H$71,"År",2023,"F24",5)))),)</f>
        <v>2.2988505747126436E-2</v>
      </c>
      <c r="M280" s="72">
        <v>2.2988505747126436E-2</v>
      </c>
      <c r="N280" s="8"/>
      <c r="O280" s="8"/>
      <c r="P280" s="8"/>
      <c r="Q280" s="51"/>
      <c r="R280" s="51"/>
      <c r="S280" s="51"/>
      <c r="T280" s="8"/>
      <c r="U280" s="8"/>
      <c r="V280" s="8"/>
      <c r="W280" s="8"/>
      <c r="X280" s="8"/>
      <c r="Y280" s="8"/>
      <c r="Z280" s="8"/>
    </row>
    <row r="281" spans="2:26" ht="14.5" x14ac:dyDescent="0.35">
      <c r="B281" s="71" t="s">
        <v>6</v>
      </c>
      <c r="C281" s="72"/>
      <c r="D281" s="72"/>
      <c r="E281" s="72"/>
      <c r="F281" s="72"/>
      <c r="G281" s="72"/>
      <c r="H281" s="72">
        <f t="shared" ref="H281:L281" si="4">IFERROR(SUM(H276:H280),"-")</f>
        <v>1</v>
      </c>
      <c r="I281" s="72">
        <f t="shared" si="4"/>
        <v>1</v>
      </c>
      <c r="J281" s="72">
        <f t="shared" si="4"/>
        <v>1</v>
      </c>
      <c r="K281" s="73">
        <f t="shared" si="4"/>
        <v>1</v>
      </c>
      <c r="L281" s="89">
        <f t="shared" si="4"/>
        <v>1</v>
      </c>
      <c r="M281" s="72">
        <v>1</v>
      </c>
      <c r="N281" s="8"/>
      <c r="O281" s="8"/>
      <c r="P281" s="8"/>
      <c r="Q281" s="51"/>
      <c r="R281" s="51"/>
      <c r="S281" s="51"/>
      <c r="T281" s="8"/>
      <c r="U281" s="8"/>
      <c r="V281" s="8"/>
      <c r="W281" s="8"/>
      <c r="X281" s="8"/>
      <c r="Y281" s="8"/>
      <c r="Z281" s="8"/>
    </row>
    <row r="282" spans="2:26" ht="14.5" x14ac:dyDescent="0.35">
      <c r="B282" s="103" t="s">
        <v>7</v>
      </c>
      <c r="C282" s="104"/>
      <c r="D282" s="104"/>
      <c r="E282" s="104"/>
      <c r="F282" s="104"/>
      <c r="G282" s="104"/>
      <c r="H282" s="105">
        <f>IFERROR(IF(H$283&lt;7,,((GETPIVOTDATA("F24",pivot!$O$71,"År",2019)))),)</f>
        <v>3.6025641025641026</v>
      </c>
      <c r="I282" s="105">
        <f>IFERROR(IF(I$283&lt;7,,((GETPIVOTDATA("F24",pivot!$O$71,"År",2020)))),)</f>
        <v>3.4680851063829787</v>
      </c>
      <c r="J282" s="105">
        <f>IFERROR(IF(J$283&lt;7,,((GETPIVOTDATA("F24",pivot!$O$71,"År",2021)))),)</f>
        <v>3.5</v>
      </c>
      <c r="K282" s="165">
        <f>IFERROR(IF(K$283&lt;7,,((GETPIVOTDATA("F24",pivot!$O$71,"År",2022)))),)</f>
        <v>3.6526315789473682</v>
      </c>
      <c r="L282" s="148">
        <f>IFERROR(IF(L$283&lt;7,,((GETPIVOTDATA("F24",pivot!$O$71,"År",2023)))),)</f>
        <v>3.5882352941176472</v>
      </c>
      <c r="M282" s="104">
        <v>3.5882352941176472</v>
      </c>
      <c r="N282" s="8"/>
      <c r="O282" s="8"/>
      <c r="P282" s="8"/>
      <c r="Q282" s="51"/>
      <c r="R282" s="51"/>
      <c r="S282" s="51"/>
      <c r="T282" s="8"/>
      <c r="U282" s="8"/>
      <c r="V282" s="8"/>
      <c r="W282" s="8"/>
      <c r="X282" s="8"/>
      <c r="Y282" s="8"/>
      <c r="Z282" s="8"/>
    </row>
    <row r="283" spans="2:26" ht="14.5" x14ac:dyDescent="0.35">
      <c r="B283" s="71" t="s">
        <v>8</v>
      </c>
      <c r="C283" s="75"/>
      <c r="D283" s="75"/>
      <c r="E283" s="75"/>
      <c r="F283" s="75"/>
      <c r="G283" s="80"/>
      <c r="H283" s="80">
        <f>IFERROR(GETPIVOTDATA("F24",pivot!$A$71,"År",2019),)</f>
        <v>79</v>
      </c>
      <c r="I283" s="80">
        <f>IFERROR(GETPIVOTDATA("F24",pivot!$A$71,"År",2020),)</f>
        <v>97</v>
      </c>
      <c r="J283" s="80">
        <f>IFERROR(GETPIVOTDATA("F24",pivot!$A$71,"År",2021),)</f>
        <v>95</v>
      </c>
      <c r="K283" s="76">
        <f>IFERROR(GETPIVOTDATA("F24",pivot!$A$71,"År",2022),)</f>
        <v>98</v>
      </c>
      <c r="L283" s="158">
        <f>IFERROR(GETPIVOTDATA("F24",pivot!$A$71,"År",2023),)</f>
        <v>87</v>
      </c>
      <c r="M283" s="80">
        <v>87</v>
      </c>
      <c r="N283" s="8"/>
      <c r="O283" s="8"/>
      <c r="P283" s="8"/>
      <c r="Q283" s="51"/>
      <c r="R283" s="51"/>
      <c r="S283" s="51"/>
      <c r="T283" s="8"/>
      <c r="U283" s="8"/>
      <c r="V283" s="8"/>
      <c r="W283" s="8"/>
      <c r="X283" s="8"/>
      <c r="Y283" s="8"/>
      <c r="Z283" s="8"/>
    </row>
    <row r="284" spans="2:26" ht="14.5" x14ac:dyDescent="0.35">
      <c r="B284" s="8"/>
      <c r="C284" s="8"/>
      <c r="D284" s="51"/>
      <c r="E284" s="51"/>
      <c r="F284" s="8"/>
      <c r="G284" s="8"/>
      <c r="H284" s="8"/>
      <c r="I284" s="8"/>
      <c r="J284" s="8"/>
      <c r="K284" s="65"/>
      <c r="L284" s="8"/>
      <c r="M284" s="153"/>
      <c r="N284" s="8"/>
      <c r="O284" s="8"/>
      <c r="P284" s="51"/>
      <c r="Q284" s="51"/>
      <c r="R284" s="51"/>
      <c r="S284" s="8"/>
      <c r="T284" s="8"/>
      <c r="U284" s="8"/>
      <c r="V284" s="8"/>
      <c r="W284" s="8"/>
      <c r="X284" s="8"/>
      <c r="Y284" s="8"/>
    </row>
    <row r="285" spans="2:26" ht="14.5" hidden="1" x14ac:dyDescent="0.35">
      <c r="B285" s="8"/>
      <c r="C285" s="8"/>
      <c r="D285" s="51"/>
      <c r="E285" s="51"/>
      <c r="F285" s="8"/>
      <c r="G285" s="8"/>
      <c r="H285" s="8"/>
      <c r="I285" s="8"/>
      <c r="J285" s="8"/>
      <c r="K285" s="65"/>
      <c r="L285" s="8"/>
      <c r="M285" s="153"/>
      <c r="N285" s="8"/>
      <c r="O285" s="8"/>
      <c r="P285" s="51"/>
      <c r="Q285" s="51"/>
      <c r="R285" s="51"/>
      <c r="S285" s="8"/>
      <c r="T285" s="8"/>
      <c r="U285" s="8"/>
      <c r="V285" s="8"/>
      <c r="W285" s="8"/>
      <c r="X285" s="8"/>
      <c r="Y285" s="8"/>
    </row>
    <row r="286" spans="2:26" ht="3" hidden="1" customHeight="1" x14ac:dyDescent="0.35">
      <c r="B286" s="57"/>
      <c r="C286" s="58"/>
      <c r="D286" s="59"/>
      <c r="E286" s="59"/>
      <c r="F286" s="58"/>
      <c r="G286" s="88"/>
      <c r="H286" s="88"/>
      <c r="I286" s="8"/>
      <c r="J286" s="8"/>
      <c r="K286" s="65"/>
      <c r="L286" s="8"/>
      <c r="M286" s="153"/>
      <c r="N286" s="8"/>
      <c r="O286" s="8"/>
      <c r="P286" s="51"/>
      <c r="Q286" s="51"/>
      <c r="R286" s="51"/>
      <c r="S286" s="8"/>
      <c r="T286" s="8"/>
      <c r="U286" s="8"/>
      <c r="V286" s="8"/>
      <c r="W286" s="8"/>
      <c r="X286" s="8"/>
      <c r="Y286" s="8"/>
    </row>
    <row r="287" spans="2:26" ht="14.5" hidden="1" x14ac:dyDescent="0.35">
      <c r="B287" s="8"/>
      <c r="C287" s="8"/>
      <c r="D287" s="51"/>
      <c r="E287" s="51"/>
      <c r="F287" s="8"/>
      <c r="G287" s="8"/>
      <c r="H287" s="8"/>
      <c r="I287" s="8"/>
      <c r="J287" s="8"/>
      <c r="K287" s="65"/>
      <c r="L287" s="8"/>
      <c r="M287" s="153"/>
      <c r="N287" s="8"/>
      <c r="O287" s="8"/>
      <c r="P287" s="51"/>
      <c r="Q287" s="51"/>
      <c r="R287" s="51"/>
      <c r="S287" s="8"/>
      <c r="T287" s="8"/>
      <c r="U287" s="8"/>
      <c r="V287" s="8"/>
      <c r="W287" s="8"/>
      <c r="X287" s="8"/>
      <c r="Y287" s="8"/>
    </row>
    <row r="288" spans="2:26" ht="14.5" x14ac:dyDescent="0.35">
      <c r="B288" s="8"/>
      <c r="C288" s="8"/>
      <c r="D288" s="51"/>
      <c r="E288" s="51"/>
      <c r="F288" s="8"/>
      <c r="G288" s="8"/>
      <c r="H288" s="8"/>
      <c r="I288" s="8"/>
      <c r="J288" s="8"/>
      <c r="K288" s="65"/>
      <c r="L288" s="8"/>
      <c r="M288" s="153"/>
      <c r="N288" s="8"/>
      <c r="O288" s="8"/>
      <c r="P288" s="51"/>
      <c r="Q288" s="51"/>
      <c r="R288" s="51"/>
      <c r="S288" s="8"/>
      <c r="T288" s="8"/>
      <c r="U288" s="8"/>
      <c r="V288" s="8"/>
      <c r="W288" s="8"/>
      <c r="X288" s="8"/>
      <c r="Y288" s="8"/>
    </row>
    <row r="289" spans="2:26" ht="15.5" x14ac:dyDescent="0.35">
      <c r="B289" s="124" t="s">
        <v>71</v>
      </c>
      <c r="C289" s="8"/>
      <c r="D289" s="51"/>
      <c r="E289" s="51"/>
      <c r="F289" s="8"/>
      <c r="G289" s="8"/>
      <c r="H289" s="8"/>
      <c r="I289" s="8"/>
      <c r="J289" s="8"/>
      <c r="K289" s="65"/>
      <c r="L289" s="8"/>
      <c r="M289" s="153"/>
      <c r="N289" s="8"/>
      <c r="O289" s="8"/>
      <c r="P289" s="51"/>
      <c r="Q289" s="51"/>
      <c r="R289" s="51"/>
      <c r="S289" s="8"/>
      <c r="T289" s="8"/>
      <c r="U289" s="8"/>
      <c r="V289" s="8"/>
      <c r="W289" s="8"/>
      <c r="X289" s="8"/>
      <c r="Y289" s="8"/>
    </row>
    <row r="290" spans="2:26" ht="14.5" x14ac:dyDescent="0.35">
      <c r="B290" s="60"/>
      <c r="C290" s="49"/>
      <c r="D290" s="50"/>
      <c r="E290" s="50"/>
      <c r="F290" s="50"/>
      <c r="G290" s="50"/>
      <c r="I290" s="151"/>
      <c r="J290" s="151"/>
      <c r="K290" s="15"/>
      <c r="L290" s="150" t="str">
        <f>$G$7</f>
        <v>(Alla)</v>
      </c>
      <c r="M290" s="177" t="s">
        <v>6</v>
      </c>
      <c r="N290" s="8"/>
      <c r="O290" s="8"/>
      <c r="P290" s="51"/>
      <c r="Q290" s="51"/>
      <c r="R290" s="51"/>
      <c r="S290" s="8"/>
      <c r="T290" s="8"/>
      <c r="U290" s="8"/>
      <c r="V290" s="8"/>
      <c r="W290" s="8"/>
      <c r="X290" s="8"/>
      <c r="Y290" s="8"/>
    </row>
    <row r="291" spans="2:26" ht="14.5" x14ac:dyDescent="0.35">
      <c r="C291" s="18"/>
      <c r="D291" s="18"/>
      <c r="E291" s="18"/>
      <c r="F291" s="18"/>
      <c r="G291" s="18"/>
      <c r="H291" s="18">
        <v>2019</v>
      </c>
      <c r="I291" s="18">
        <v>2020</v>
      </c>
      <c r="J291" s="18">
        <v>2021</v>
      </c>
      <c r="K291" s="9">
        <v>2022</v>
      </c>
      <c r="L291" s="155">
        <v>2023</v>
      </c>
      <c r="M291" s="30">
        <v>2023</v>
      </c>
      <c r="N291" s="8"/>
      <c r="O291" s="8"/>
      <c r="P291" s="51"/>
      <c r="Q291" s="51"/>
      <c r="R291" s="51"/>
      <c r="S291" s="8"/>
      <c r="T291" s="8"/>
      <c r="U291" s="8"/>
      <c r="V291" s="8"/>
      <c r="W291" s="8"/>
      <c r="X291" s="8"/>
      <c r="Y291" s="8"/>
    </row>
    <row r="292" spans="2:26" ht="14.5" x14ac:dyDescent="0.35">
      <c r="B292" s="71" t="s">
        <v>46</v>
      </c>
      <c r="C292" s="72"/>
      <c r="D292" s="72"/>
      <c r="E292" s="72"/>
      <c r="F292" s="72"/>
      <c r="G292" s="72"/>
      <c r="H292" s="72">
        <f>IFERROR(IF(H$299&lt;7,,((GETPIVOTDATA("Jag vet vem på skolan jag kan prata med om någon varit elak ",pivot!$I$265,"År",2019,"Jag vet vem på skolan jag kan prata med om någon varit elak ",1)))),)</f>
        <v>0</v>
      </c>
      <c r="I292" s="72">
        <f>IFERROR(IF(I$299&lt;7,,((GETPIVOTDATA("Jag vet vem på skolan jag kan prata med om någon varit elak ",pivot!$I$265,"År",2020,"Jag vet vem på skolan jag kan prata med om någon varit elak ",1)))),)</f>
        <v>2.0833333333333332E-2</v>
      </c>
      <c r="J292" s="72">
        <f>IFERROR(IF(J$299&lt;7,,((GETPIVOTDATA("Jag vet vem på skolan jag kan prata med om någon varit elak ",pivot!$I$265,"År",2021,"Jag vet vem på skolan jag kan prata med om någon varit elak ",1)))),)</f>
        <v>2.2222222222222223E-2</v>
      </c>
      <c r="K292" s="73">
        <f>IFERROR(IF(K$299&lt;7,,((GETPIVOTDATA("Jag vet vem på skolan jag kan prata med om någon varit elak ",pivot!$I$265,"År",2022,"Jag vet vem på skolan jag kan prata med om någon varit elak ",1)))),)</f>
        <v>2.0618556701030927E-2</v>
      </c>
      <c r="L292" s="89">
        <f>IFERROR(IF(L$299&lt;7,,((GETPIVOTDATA("Jag vet vem på skolan jag kan prata med om någon varit elak ",pivot!$I$265,"År",2023,"Jag vet vem på skolan jag kan prata med om någon varit elak ",1)))),)</f>
        <v>2.2988505747126436E-2</v>
      </c>
      <c r="M292" s="72">
        <v>2.2988505747126436E-2</v>
      </c>
      <c r="N292" s="8"/>
      <c r="O292" s="8"/>
      <c r="P292" s="51"/>
      <c r="Q292" s="51"/>
      <c r="R292" s="51"/>
      <c r="S292" s="8"/>
      <c r="T292" s="8"/>
      <c r="U292" s="8"/>
      <c r="V292" s="8"/>
      <c r="W292" s="8"/>
      <c r="X292" s="8"/>
      <c r="Y292" s="8"/>
    </row>
    <row r="293" spans="2:26" ht="14.5" x14ac:dyDescent="0.35">
      <c r="B293" s="74">
        <v>2</v>
      </c>
      <c r="C293" s="72"/>
      <c r="D293" s="72"/>
      <c r="E293" s="72"/>
      <c r="F293" s="72"/>
      <c r="G293" s="72"/>
      <c r="H293" s="72">
        <f>IFERROR(IF(H$299&lt;7,,((GETPIVOTDATA("Jag vet vem på skolan jag kan prata med om någon varit elak ",pivot!$I$265,"År",2019,"Jag vet vem på skolan jag kan prata med om någon varit elak ",2)))),)</f>
        <v>0</v>
      </c>
      <c r="I293" s="72">
        <f>IFERROR(IF(I$299&lt;7,,((GETPIVOTDATA("Jag vet vem på skolan jag kan prata med om någon varit elak ",pivot!$I$265,"År",2020,"Jag vet vem på skolan jag kan prata med om någon varit elak ",2)))),)</f>
        <v>0</v>
      </c>
      <c r="J293" s="72">
        <f>IFERROR(IF(J$299&lt;7,,((GETPIVOTDATA("Jag vet vem på skolan jag kan prata med om någon varit elak ",pivot!$I$265,"År",2021,"Jag vet vem på skolan jag kan prata med om någon varit elak ",2)))),)</f>
        <v>1.1111111111111112E-2</v>
      </c>
      <c r="K293" s="73">
        <f>IFERROR(IF(K$299&lt;7,,((GETPIVOTDATA("Jag vet vem på skolan jag kan prata med om någon varit elak ",pivot!$I$265,"År",2022,"Jag vet vem på skolan jag kan prata med om någon varit elak ",2)))),)</f>
        <v>2.0618556701030927E-2</v>
      </c>
      <c r="L293" s="89">
        <f>IFERROR(IF(L$299&lt;7,,((GETPIVOTDATA("Jag vet vem på skolan jag kan prata med om någon varit elak ",pivot!$I$265,"År",2023,"Jag vet vem på skolan jag kan prata med om någon varit elak ",2)))),)</f>
        <v>2.2988505747126436E-2</v>
      </c>
      <c r="M293" s="72">
        <v>2.2988505747126436E-2</v>
      </c>
      <c r="N293" s="8"/>
      <c r="O293" s="8"/>
      <c r="P293" s="51"/>
      <c r="Q293" s="51"/>
      <c r="R293" s="51"/>
      <c r="S293" s="8"/>
      <c r="T293" s="8"/>
      <c r="U293" s="8"/>
      <c r="V293" s="8"/>
      <c r="W293" s="8"/>
      <c r="X293" s="8"/>
      <c r="Y293" s="8"/>
    </row>
    <row r="294" spans="2:26" ht="14.5" x14ac:dyDescent="0.35">
      <c r="B294" s="74">
        <v>3</v>
      </c>
      <c r="C294" s="72"/>
      <c r="D294" s="72"/>
      <c r="E294" s="72"/>
      <c r="F294" s="72"/>
      <c r="G294" s="72"/>
      <c r="H294" s="72">
        <f>IFERROR(IF(H$299&lt;7,,((GETPIVOTDATA("Jag vet vem på skolan jag kan prata med om någon varit elak ",pivot!$I$265,"År",2019,"Jag vet vem på skolan jag kan prata med om någon varit elak ",3)))),)</f>
        <v>0.18181818181818182</v>
      </c>
      <c r="I294" s="72">
        <f>IFERROR(IF(I$299&lt;7,,((GETPIVOTDATA("Jag vet vem på skolan jag kan prata med om någon varit elak ",pivot!$I$265,"År",2020,"Jag vet vem på skolan jag kan prata med om någon varit elak ",3)))),)</f>
        <v>0.13541666666666666</v>
      </c>
      <c r="J294" s="72">
        <f>IFERROR(IF(J$299&lt;7,,((GETPIVOTDATA("Jag vet vem på skolan jag kan prata med om någon varit elak ",pivot!$I$265,"År",2021,"Jag vet vem på skolan jag kan prata med om någon varit elak ",3)))),)</f>
        <v>0.18888888888888888</v>
      </c>
      <c r="K294" s="73">
        <f>IFERROR(IF(K$299&lt;7,,((GETPIVOTDATA("Jag vet vem på skolan jag kan prata med om någon varit elak ",pivot!$I$265,"År",2022,"Jag vet vem på skolan jag kan prata med om någon varit elak ",3)))),)</f>
        <v>0.1134020618556701</v>
      </c>
      <c r="L294" s="89">
        <f>IFERROR(IF(L$299&lt;7,,((GETPIVOTDATA("Jag vet vem på skolan jag kan prata med om någon varit elak ",pivot!$I$265,"År",2023,"Jag vet vem på skolan jag kan prata med om någon varit elak ",3)))),)</f>
        <v>0.20689655172413793</v>
      </c>
      <c r="M294" s="72">
        <v>0.20689655172413793</v>
      </c>
      <c r="N294" s="8"/>
      <c r="O294" s="8"/>
      <c r="P294" s="51"/>
      <c r="Q294" s="51"/>
      <c r="R294" s="51"/>
      <c r="S294" s="8"/>
      <c r="T294" s="8"/>
      <c r="U294" s="8"/>
      <c r="V294" s="8"/>
      <c r="W294" s="8"/>
      <c r="X294" s="8"/>
      <c r="Y294" s="8"/>
    </row>
    <row r="295" spans="2:26" ht="14.5" x14ac:dyDescent="0.35">
      <c r="B295" s="74" t="s">
        <v>47</v>
      </c>
      <c r="C295" s="72"/>
      <c r="D295" s="72"/>
      <c r="E295" s="72"/>
      <c r="F295" s="72"/>
      <c r="G295" s="72"/>
      <c r="H295" s="72">
        <f>IFERROR(IF(H$299&lt;7,,((GETPIVOTDATA("Jag vet vem på skolan jag kan prata med om någon varit elak ",pivot!$I$265,"År",2019,"Jag vet vem på skolan jag kan prata med om någon varit elak ",4)))),)</f>
        <v>0.80519480519480524</v>
      </c>
      <c r="I295" s="72">
        <f>IFERROR(IF(I$299&lt;7,,((GETPIVOTDATA("Jag vet vem på skolan jag kan prata med om någon varit elak ",pivot!$I$265,"År",2020,"Jag vet vem på skolan jag kan prata med om någon varit elak ",4)))),)</f>
        <v>0.78125</v>
      </c>
      <c r="J295" s="72">
        <f>IFERROR(IF(J$299&lt;7,,((GETPIVOTDATA("Jag vet vem på skolan jag kan prata med om någon varit elak ",pivot!$I$265,"År",2021,"Jag vet vem på skolan jag kan prata med om någon varit elak ",4)))),)</f>
        <v>0.66666666666666663</v>
      </c>
      <c r="K295" s="73">
        <f>IFERROR(IF(K$299&lt;7,,((GETPIVOTDATA("Jag vet vem på skolan jag kan prata med om någon varit elak ",pivot!$I$265,"År",2022,"Jag vet vem på skolan jag kan prata med om någon varit elak ",4)))),)</f>
        <v>0.76288659793814428</v>
      </c>
      <c r="L295" s="89">
        <f>IFERROR(IF(L$299&lt;7,,((GETPIVOTDATA("Jag vet vem på skolan jag kan prata med om någon varit elak ",pivot!$I$265,"År",2023,"Jag vet vem på skolan jag kan prata med om någon varit elak ",4)))),)</f>
        <v>0.70114942528735635</v>
      </c>
      <c r="M295" s="72">
        <v>0.70114942528735635</v>
      </c>
      <c r="N295" s="8"/>
      <c r="O295" s="8"/>
      <c r="P295" s="51"/>
      <c r="Q295" s="51"/>
      <c r="R295" s="51"/>
      <c r="S295" s="8"/>
      <c r="T295" s="8"/>
      <c r="U295" s="8"/>
      <c r="V295" s="8"/>
      <c r="W295" s="8"/>
      <c r="X295" s="8"/>
      <c r="Y295" s="8"/>
    </row>
    <row r="296" spans="2:26" ht="14.5" x14ac:dyDescent="0.35">
      <c r="B296" s="74" t="s">
        <v>2</v>
      </c>
      <c r="C296" s="72"/>
      <c r="D296" s="72"/>
      <c r="E296" s="72"/>
      <c r="F296" s="72"/>
      <c r="G296" s="72"/>
      <c r="H296" s="72">
        <f>IFERROR(IF(H$299&lt;7,,((GETPIVOTDATA("Jag vet vem på skolan jag kan prata med om någon varit elak ",pivot!$I$265,"År",2019,"Jag vet vem på skolan jag kan prata med om någon varit elak ",5)))),)</f>
        <v>1.2987012987012988E-2</v>
      </c>
      <c r="I296" s="72">
        <f>IFERROR(IF(I$299&lt;7,,((GETPIVOTDATA("Jag vet vem på skolan jag kan prata med om någon varit elak ",pivot!$I$265,"År",2020,"Jag vet vem på skolan jag kan prata med om någon varit elak ",5)))),)</f>
        <v>6.25E-2</v>
      </c>
      <c r="J296" s="72">
        <f>IFERROR(IF(J$299&lt;7,,((GETPIVOTDATA("Jag vet vem på skolan jag kan prata med om någon varit elak ",pivot!$I$265,"År",2021,"Jag vet vem på skolan jag kan prata med om någon varit elak ",5)))),)</f>
        <v>0.1111111111111111</v>
      </c>
      <c r="K296" s="73">
        <f>IFERROR(IF(K$299&lt;7,,((GETPIVOTDATA("Jag vet vem på skolan jag kan prata med om någon varit elak ",pivot!$I$265,"År",2022,"Jag vet vem på skolan jag kan prata med om någon varit elak ",5)))),)</f>
        <v>8.247422680412371E-2</v>
      </c>
      <c r="L296" s="89">
        <f>IFERROR(IF(L$299&lt;7,,((GETPIVOTDATA("Jag vet vem på skolan jag kan prata med om någon varit elak ",pivot!$I$265,"År",2023,"Jag vet vem på skolan jag kan prata med om någon varit elak ",5)))),)</f>
        <v>4.5977011494252873E-2</v>
      </c>
      <c r="M296" s="72">
        <v>4.5977011494252873E-2</v>
      </c>
      <c r="N296" s="8"/>
      <c r="O296" s="8"/>
      <c r="P296" s="51"/>
      <c r="Q296" s="51"/>
      <c r="R296" s="51"/>
      <c r="S296" s="8"/>
      <c r="T296" s="8"/>
      <c r="U296" s="8"/>
      <c r="V296" s="8"/>
      <c r="W296" s="8"/>
      <c r="X296" s="8"/>
      <c r="Y296" s="8"/>
    </row>
    <row r="297" spans="2:26" ht="14.5" x14ac:dyDescent="0.35">
      <c r="B297" s="71" t="s">
        <v>6</v>
      </c>
      <c r="C297" s="72"/>
      <c r="D297" s="72"/>
      <c r="E297" s="72"/>
      <c r="F297" s="72"/>
      <c r="G297" s="72"/>
      <c r="H297" s="72">
        <f>IFERROR(SUM(H292:H296),"-")</f>
        <v>1</v>
      </c>
      <c r="I297" s="72">
        <f>IFERROR(SUM(I292:I296),"-")</f>
        <v>1</v>
      </c>
      <c r="J297" s="72">
        <f>IFERROR(SUM(J292:J296),"-")</f>
        <v>1</v>
      </c>
      <c r="K297" s="73">
        <f>IFERROR(SUM(K292:K296),"-")</f>
        <v>1</v>
      </c>
      <c r="L297" s="89">
        <f>IFERROR(SUM(L292:L296),"-")</f>
        <v>1</v>
      </c>
      <c r="M297" s="72">
        <v>1</v>
      </c>
      <c r="N297" s="8"/>
      <c r="O297" s="8"/>
      <c r="P297" s="51"/>
      <c r="Q297" s="51"/>
      <c r="R297" s="51"/>
      <c r="S297" s="8"/>
      <c r="T297" s="8"/>
      <c r="U297" s="8"/>
      <c r="V297" s="8"/>
      <c r="W297" s="8"/>
      <c r="X297" s="8"/>
      <c r="Y297" s="8"/>
    </row>
    <row r="298" spans="2:26" ht="14.5" x14ac:dyDescent="0.35">
      <c r="B298" s="106" t="s">
        <v>7</v>
      </c>
      <c r="C298" s="107"/>
      <c r="D298" s="107"/>
      <c r="E298" s="107"/>
      <c r="F298" s="107"/>
      <c r="G298" s="107"/>
      <c r="H298" s="107">
        <f>IFERROR(IF(H$299&lt;7,,((GETPIVOTDATA("Jag vet vem på skolan jag kan prata med om någon varit elak ",pivot!$P$264,"År",2019)))),)</f>
        <v>3.8157894736842106</v>
      </c>
      <c r="I298" s="107">
        <f>IFERROR(IF(I$299&lt;7,,((GETPIVOTDATA("Jag vet vem på skolan jag kan prata med om någon varit elak ",pivot!$P$264,"År",2020)))),)</f>
        <v>3.7888888888888888</v>
      </c>
      <c r="J298" s="107">
        <f>IFERROR(IF(J$299&lt;7,,((GETPIVOTDATA("Jag vet vem på skolan jag kan prata med om någon varit elak ",pivot!$P$264,"År",2021)))),)</f>
        <v>3.7088607594936707</v>
      </c>
      <c r="K298" s="172">
        <f>IFERROR(IF(K$299&lt;7,,((GETPIVOTDATA("Jag vet vem på skolan jag kan prata med om någon varit elak ",pivot!$P$264,"År",2022)))),)</f>
        <v>3.8045977011494254</v>
      </c>
      <c r="L298" s="162">
        <f>IFERROR(IF(L$299&lt;7,,((GETPIVOTDATA("Jag vet vem på skolan jag kan prata med om någon varit elak ",pivot!$P$264,"År",2023)))),)</f>
        <v>3.7037037037037037</v>
      </c>
      <c r="M298" s="107">
        <v>3.7037037037037037</v>
      </c>
      <c r="N298" s="8"/>
      <c r="O298" s="8"/>
      <c r="P298" s="51"/>
      <c r="Q298" s="51"/>
      <c r="R298" s="51"/>
      <c r="S298" s="8"/>
      <c r="T298" s="8"/>
      <c r="U298" s="8"/>
      <c r="V298" s="8"/>
      <c r="W298" s="8"/>
      <c r="X298" s="8"/>
      <c r="Y298" s="8"/>
    </row>
    <row r="299" spans="2:26" ht="14.5" x14ac:dyDescent="0.35">
      <c r="B299" s="71" t="s">
        <v>8</v>
      </c>
      <c r="C299" s="75"/>
      <c r="D299" s="75"/>
      <c r="E299" s="75"/>
      <c r="F299" s="75"/>
      <c r="G299" s="75"/>
      <c r="H299" s="80">
        <f>IFERROR(GETPIVOTDATA("Jag vet vem på skolan jag kan prata med om någon varit elak ",pivot!$A$265,"År",2019),)</f>
        <v>77</v>
      </c>
      <c r="I299" s="80">
        <f>IFERROR(GETPIVOTDATA("Jag vet vem på skolan jag kan prata med om någon varit elak ",pivot!$A$265,"År",2020),)</f>
        <v>96</v>
      </c>
      <c r="J299" s="80">
        <f>IFERROR(GETPIVOTDATA("Jag vet vem på skolan jag kan prata med om någon varit elak ",pivot!$A$265,"År",2021),)</f>
        <v>90</v>
      </c>
      <c r="K299" s="76">
        <f>IFERROR(GETPIVOTDATA("Jag vet vem på skolan jag kan prata med om någon varit elak ",pivot!$A$265,"År",2022),)</f>
        <v>97</v>
      </c>
      <c r="L299" s="158">
        <f>IFERROR(GETPIVOTDATA("Jag vet vem på skolan jag kan prata med om någon varit elak ",pivot!$A$265,"År",2023),)</f>
        <v>87</v>
      </c>
      <c r="M299" s="80">
        <v>87</v>
      </c>
      <c r="N299" s="8"/>
      <c r="O299" s="8"/>
      <c r="P299" s="51"/>
      <c r="Q299" s="51"/>
      <c r="R299" s="51"/>
      <c r="S299" s="8"/>
      <c r="T299" s="8"/>
      <c r="U299" s="8"/>
      <c r="V299" s="8"/>
      <c r="W299" s="8"/>
      <c r="X299" s="8"/>
      <c r="Y299" s="8"/>
    </row>
    <row r="300" spans="2:26" ht="14.5" x14ac:dyDescent="0.35">
      <c r="B300" s="8"/>
      <c r="C300" s="8"/>
      <c r="D300" s="51"/>
      <c r="E300" s="51"/>
      <c r="F300" s="8"/>
      <c r="G300" s="8"/>
      <c r="H300" s="8"/>
      <c r="I300" s="8"/>
      <c r="J300" s="8"/>
      <c r="K300" s="65"/>
      <c r="L300" s="8"/>
      <c r="M300" s="153"/>
      <c r="N300" s="8"/>
      <c r="O300" s="8"/>
      <c r="P300" s="51"/>
      <c r="Q300" s="51"/>
      <c r="R300" s="51"/>
      <c r="S300" s="8"/>
      <c r="T300" s="8"/>
      <c r="U300" s="8"/>
      <c r="V300" s="8"/>
      <c r="W300" s="8"/>
      <c r="X300" s="8"/>
      <c r="Y300" s="8"/>
    </row>
    <row r="301" spans="2:26" ht="14.5" x14ac:dyDescent="0.35">
      <c r="B301" s="8"/>
      <c r="C301" s="8"/>
      <c r="D301" s="51"/>
      <c r="E301" s="51"/>
      <c r="F301" s="8"/>
      <c r="G301" s="8"/>
      <c r="H301" s="8"/>
      <c r="I301" s="8"/>
      <c r="J301" s="65"/>
      <c r="K301" s="65"/>
      <c r="L301" s="65"/>
      <c r="M301" s="94"/>
      <c r="N301" s="8"/>
      <c r="O301" s="8"/>
      <c r="P301" s="51"/>
      <c r="Q301" s="51"/>
      <c r="R301" s="51"/>
      <c r="S301" s="8"/>
      <c r="T301" s="8"/>
      <c r="U301" s="8"/>
      <c r="V301" s="8"/>
      <c r="W301" s="8"/>
      <c r="X301" s="8"/>
      <c r="Y301" s="8"/>
    </row>
    <row r="302" spans="2:26" ht="15.5" x14ac:dyDescent="0.35">
      <c r="B302" s="124" t="s">
        <v>41</v>
      </c>
      <c r="C302" s="8"/>
      <c r="D302" s="51"/>
      <c r="E302" s="51"/>
      <c r="F302" s="8"/>
      <c r="G302" s="8"/>
      <c r="H302" s="8"/>
      <c r="I302" s="8"/>
      <c r="J302" s="65"/>
      <c r="K302" s="65"/>
      <c r="L302" s="65"/>
      <c r="M302" s="94"/>
      <c r="N302" s="8"/>
      <c r="O302" s="8"/>
      <c r="P302" s="51"/>
      <c r="Q302" s="51"/>
      <c r="R302" s="51"/>
      <c r="S302" s="8"/>
      <c r="T302" s="8"/>
      <c r="U302" s="8"/>
      <c r="V302" s="8"/>
      <c r="W302" s="8"/>
      <c r="X302" s="8"/>
      <c r="Y302" s="8"/>
    </row>
    <row r="303" spans="2:26" ht="14.5" x14ac:dyDescent="0.35">
      <c r="B303" s="8"/>
      <c r="C303" s="49"/>
      <c r="D303" s="50"/>
      <c r="E303" s="50"/>
      <c r="F303" s="50"/>
      <c r="G303" s="50"/>
      <c r="I303" s="151"/>
      <c r="J303" s="151"/>
      <c r="K303" s="15"/>
      <c r="L303" s="150" t="str">
        <f>$G$7</f>
        <v>(Alla)</v>
      </c>
      <c r="M303" s="177" t="s">
        <v>6</v>
      </c>
      <c r="N303" s="8"/>
      <c r="O303" s="8"/>
      <c r="P303" s="51"/>
      <c r="Q303" s="51"/>
      <c r="R303" s="51"/>
      <c r="S303" s="8"/>
      <c r="T303" s="8"/>
      <c r="U303" s="8"/>
      <c r="V303" s="8"/>
      <c r="W303" s="8"/>
      <c r="X303" s="8"/>
      <c r="Y303" s="8"/>
    </row>
    <row r="304" spans="2:26" ht="14.5" x14ac:dyDescent="0.35">
      <c r="C304" s="18"/>
      <c r="D304" s="18"/>
      <c r="E304" s="18"/>
      <c r="F304" s="18"/>
      <c r="G304" s="18"/>
      <c r="H304" s="18">
        <v>2019</v>
      </c>
      <c r="I304" s="18">
        <v>2020</v>
      </c>
      <c r="J304" s="18">
        <v>2021</v>
      </c>
      <c r="K304" s="9">
        <v>2022</v>
      </c>
      <c r="L304" s="155">
        <v>2023</v>
      </c>
      <c r="M304" s="30">
        <v>2023</v>
      </c>
      <c r="N304" s="56"/>
      <c r="O304" s="61"/>
      <c r="P304" s="8"/>
      <c r="Q304" s="51"/>
      <c r="R304" s="51"/>
      <c r="S304" s="51"/>
      <c r="T304" s="8"/>
      <c r="U304" s="8"/>
      <c r="V304" s="8"/>
      <c r="W304" s="8"/>
      <c r="X304" s="8"/>
      <c r="Y304" s="8"/>
      <c r="Z304" s="8"/>
    </row>
    <row r="305" spans="2:26" ht="14.5" x14ac:dyDescent="0.35">
      <c r="B305" s="71" t="s">
        <v>46</v>
      </c>
      <c r="C305" s="72"/>
      <c r="D305" s="72"/>
      <c r="E305" s="72"/>
      <c r="F305" s="72"/>
      <c r="G305" s="72"/>
      <c r="H305" s="72">
        <f>IFERROR(IF(H$312&lt;7,,((GETPIVOTDATA("F27",pivot!$H$83,"År",2019,"F27",1)))),)</f>
        <v>0</v>
      </c>
      <c r="I305" s="72">
        <f>IFERROR(IF(I$312&lt;7,,((GETPIVOTDATA("F27",pivot!$H$83,"År",2020,"F27",1)))),)</f>
        <v>0</v>
      </c>
      <c r="J305" s="72">
        <f>IFERROR(IF(J$312&lt;7,,((GETPIVOTDATA("F27",pivot!$H$83,"År",2021,"F27",1)))),)</f>
        <v>3.2608695652173912E-2</v>
      </c>
      <c r="K305" s="73">
        <f>IFERROR(IF(K$312&lt;7,,((GETPIVOTDATA("F27",pivot!$H$83,"År",2022,"F27",1)))),)</f>
        <v>0</v>
      </c>
      <c r="L305" s="89">
        <f>IFERROR(IF(L$312&lt;7,,((GETPIVOTDATA("F27",pivot!$H$83,"År",2023,"F27",1)))),)</f>
        <v>1.1363636363636364E-2</v>
      </c>
      <c r="M305" s="72">
        <v>1.1363636363636364E-2</v>
      </c>
      <c r="N305" s="8"/>
      <c r="O305" s="8"/>
      <c r="P305" s="8"/>
      <c r="Q305" s="51"/>
      <c r="R305" s="51"/>
      <c r="S305" s="51"/>
      <c r="T305" s="8"/>
      <c r="U305" s="8"/>
      <c r="V305" s="8"/>
      <c r="W305" s="8"/>
      <c r="X305" s="8"/>
      <c r="Y305" s="8"/>
      <c r="Z305" s="8"/>
    </row>
    <row r="306" spans="2:26" ht="14.5" x14ac:dyDescent="0.35">
      <c r="B306" s="74">
        <v>2</v>
      </c>
      <c r="C306" s="72"/>
      <c r="D306" s="72"/>
      <c r="E306" s="72"/>
      <c r="F306" s="72"/>
      <c r="G306" s="72"/>
      <c r="H306" s="72">
        <f>IFERROR(IF(H$312&lt;7,,((GETPIVOTDATA("F27",pivot!$H$83,"År",2019,"F27",2)))),)</f>
        <v>0</v>
      </c>
      <c r="I306" s="72">
        <f>IFERROR(IF(I$312&lt;7,,((GETPIVOTDATA("F27",pivot!$H$83,"År",2020,"F27",2)))),)</f>
        <v>1.0526315789473684E-2</v>
      </c>
      <c r="J306" s="72">
        <f>IFERROR(IF(J$312&lt;7,,((GETPIVOTDATA("F27",pivot!$H$83,"År",2021,"F27",2)))),)</f>
        <v>0</v>
      </c>
      <c r="K306" s="73">
        <f>IFERROR(IF(K$312&lt;7,,((GETPIVOTDATA("F27",pivot!$H$83,"År",2022,"F27",2)))),)</f>
        <v>1.0309278350515464E-2</v>
      </c>
      <c r="L306" s="89">
        <f>IFERROR(IF(L$312&lt;7,,((GETPIVOTDATA("F27",pivot!$H$83,"År",2023,"F27",2)))),)</f>
        <v>4.5454545454545456E-2</v>
      </c>
      <c r="M306" s="72">
        <v>4.5454545454545456E-2</v>
      </c>
      <c r="N306" s="8"/>
      <c r="O306" s="8"/>
      <c r="P306" s="8"/>
      <c r="Q306" s="51"/>
      <c r="R306" s="51"/>
      <c r="S306" s="51"/>
      <c r="T306" s="8"/>
      <c r="U306" s="8"/>
      <c r="V306" s="8"/>
      <c r="W306" s="8"/>
      <c r="X306" s="8"/>
      <c r="Y306" s="8"/>
      <c r="Z306" s="8"/>
    </row>
    <row r="307" spans="2:26" ht="14.5" x14ac:dyDescent="0.35">
      <c r="B307" s="74">
        <v>3</v>
      </c>
      <c r="C307" s="72"/>
      <c r="D307" s="72"/>
      <c r="E307" s="72"/>
      <c r="F307" s="72"/>
      <c r="G307" s="72"/>
      <c r="H307" s="72">
        <f>IFERROR(IF(H$312&lt;7,,((GETPIVOTDATA("F27",pivot!$H$83,"År",2019,"F27",3)))),)</f>
        <v>0.20833333333333334</v>
      </c>
      <c r="I307" s="72">
        <f>IFERROR(IF(I$312&lt;7,,((GETPIVOTDATA("F27",pivot!$H$83,"År",2020,"F27",3)))),)</f>
        <v>0.16842105263157894</v>
      </c>
      <c r="J307" s="72">
        <f>IFERROR(IF(J$312&lt;7,,((GETPIVOTDATA("F27",pivot!$H$83,"År",2021,"F27",3)))),)</f>
        <v>0.16304347826086957</v>
      </c>
      <c r="K307" s="73">
        <f>IFERROR(IF(K$312&lt;7,,((GETPIVOTDATA("F27",pivot!$H$83,"År",2022,"F27",3)))),)</f>
        <v>0.16494845360824742</v>
      </c>
      <c r="L307" s="89">
        <f>IFERROR(IF(L$312&lt;7,,((GETPIVOTDATA("F27",pivot!$H$83,"År",2023,"F27",3)))),)</f>
        <v>0.14772727272727273</v>
      </c>
      <c r="M307" s="72">
        <v>0.14772727272727273</v>
      </c>
      <c r="N307" s="8"/>
      <c r="O307" s="8"/>
      <c r="P307" s="8"/>
      <c r="Q307" s="51"/>
      <c r="R307" s="51"/>
      <c r="S307" s="51"/>
      <c r="T307" s="8"/>
      <c r="U307" s="8"/>
      <c r="V307" s="8"/>
      <c r="W307" s="8"/>
      <c r="X307" s="8"/>
      <c r="Y307" s="8"/>
      <c r="Z307" s="8"/>
    </row>
    <row r="308" spans="2:26" ht="14.5" x14ac:dyDescent="0.35">
      <c r="B308" s="74" t="s">
        <v>47</v>
      </c>
      <c r="C308" s="72"/>
      <c r="D308" s="72"/>
      <c r="E308" s="72"/>
      <c r="F308" s="72"/>
      <c r="G308" s="72"/>
      <c r="H308" s="72">
        <f>IFERROR(IF(H$312&lt;7,,((GETPIVOTDATA("F27",pivot!$H$83,"År",2019,"F27",4)))),)</f>
        <v>0.75</v>
      </c>
      <c r="I308" s="72">
        <f>IFERROR(IF(I$312&lt;7,,((GETPIVOTDATA("F27",pivot!$H$83,"År",2020,"F27",4)))),)</f>
        <v>0.77894736842105261</v>
      </c>
      <c r="J308" s="72">
        <f>IFERROR(IF(J$312&lt;7,,((GETPIVOTDATA("F27",pivot!$H$83,"År",2021,"F27",4)))),)</f>
        <v>0.76086956521739135</v>
      </c>
      <c r="K308" s="73">
        <f>IFERROR(IF(K$312&lt;7,,((GETPIVOTDATA("F27",pivot!$H$83,"År",2022,"F27",4)))),)</f>
        <v>0.74226804123711343</v>
      </c>
      <c r="L308" s="89">
        <f>IFERROR(IF(L$312&lt;7,,((GETPIVOTDATA("F27",pivot!$H$83,"År",2023,"F27",4)))),)</f>
        <v>0.71590909090909094</v>
      </c>
      <c r="M308" s="72">
        <v>0.71590909090909094</v>
      </c>
      <c r="N308" s="8"/>
      <c r="O308" s="8"/>
      <c r="P308" s="8"/>
      <c r="Q308" s="51"/>
      <c r="R308" s="51"/>
      <c r="S308" s="51"/>
      <c r="T308" s="8"/>
      <c r="U308" s="8"/>
      <c r="V308" s="8"/>
      <c r="W308" s="8"/>
      <c r="X308" s="8"/>
      <c r="Y308" s="8"/>
      <c r="Z308" s="8"/>
    </row>
    <row r="309" spans="2:26" ht="14.5" x14ac:dyDescent="0.35">
      <c r="B309" s="74" t="s">
        <v>2</v>
      </c>
      <c r="C309" s="72"/>
      <c r="D309" s="72"/>
      <c r="E309" s="72"/>
      <c r="F309" s="72"/>
      <c r="G309" s="72"/>
      <c r="H309" s="72">
        <f>IFERROR(IF(H$312&lt;7,,((GETPIVOTDATA("F27",pivot!$H$83,"År",2019,"F27",5)))),)</f>
        <v>4.1666666666666664E-2</v>
      </c>
      <c r="I309" s="72">
        <f>IFERROR(IF(I$312&lt;7,,((GETPIVOTDATA("F27",pivot!$H$83,"År",2020,"F27",5)))),)</f>
        <v>4.2105263157894736E-2</v>
      </c>
      <c r="J309" s="72">
        <f>IFERROR(IF(J$312&lt;7,,((GETPIVOTDATA("F27",pivot!$H$83,"År",2021,"F27",5)))),)</f>
        <v>4.3478260869565216E-2</v>
      </c>
      <c r="K309" s="73">
        <f>IFERROR(IF(K$312&lt;7,,((GETPIVOTDATA("F27",pivot!$H$83,"År",2022,"F27",5)))),)</f>
        <v>8.247422680412371E-2</v>
      </c>
      <c r="L309" s="89">
        <f>IFERROR(IF(L$312&lt;7,,((GETPIVOTDATA("F27",pivot!$H$83,"År",2023,"F27",5)))),)</f>
        <v>7.9545454545454544E-2</v>
      </c>
      <c r="M309" s="72">
        <v>7.9545454545454544E-2</v>
      </c>
      <c r="N309" s="8"/>
      <c r="O309" s="8"/>
      <c r="P309" s="8"/>
      <c r="Q309" s="51"/>
      <c r="R309" s="51"/>
      <c r="S309" s="51"/>
      <c r="T309" s="8"/>
      <c r="U309" s="8"/>
      <c r="V309" s="8"/>
      <c r="W309" s="8"/>
      <c r="X309" s="8"/>
      <c r="Y309" s="8"/>
      <c r="Z309" s="8"/>
    </row>
    <row r="310" spans="2:26" ht="14.5" x14ac:dyDescent="0.35">
      <c r="B310" s="71" t="s">
        <v>6</v>
      </c>
      <c r="C310" s="72"/>
      <c r="D310" s="72"/>
      <c r="E310" s="72"/>
      <c r="F310" s="72"/>
      <c r="G310" s="72"/>
      <c r="H310" s="72">
        <f t="shared" ref="H310:L310" si="5">IFERROR(SUM(H305:H309),"-")</f>
        <v>1</v>
      </c>
      <c r="I310" s="72">
        <f t="shared" si="5"/>
        <v>1</v>
      </c>
      <c r="J310" s="72">
        <f t="shared" si="5"/>
        <v>1</v>
      </c>
      <c r="K310" s="73">
        <f t="shared" si="5"/>
        <v>1</v>
      </c>
      <c r="L310" s="89">
        <f t="shared" si="5"/>
        <v>1</v>
      </c>
      <c r="M310" s="72">
        <v>1</v>
      </c>
      <c r="N310" s="8"/>
      <c r="O310" s="8"/>
      <c r="P310" s="8"/>
      <c r="Q310" s="51"/>
      <c r="R310" s="51"/>
      <c r="S310" s="51"/>
      <c r="T310" s="8"/>
      <c r="U310" s="8"/>
      <c r="V310" s="8"/>
      <c r="W310" s="8"/>
      <c r="X310" s="8"/>
      <c r="Y310" s="8"/>
      <c r="Z310" s="8"/>
    </row>
    <row r="311" spans="2:26" ht="14.5" x14ac:dyDescent="0.35">
      <c r="B311" s="103" t="s">
        <v>7</v>
      </c>
      <c r="C311" s="104"/>
      <c r="D311" s="104"/>
      <c r="E311" s="104"/>
      <c r="F311" s="104"/>
      <c r="G311" s="104"/>
      <c r="H311" s="105">
        <f>IFERROR(IF(H$312&lt;7,,((GETPIVOTDATA("F27",pivot!$O$83,"År",2019)))),)</f>
        <v>3.7826086956521738</v>
      </c>
      <c r="I311" s="105">
        <f>IFERROR(IF(I$312&lt;7,,((GETPIVOTDATA("F27",pivot!$O$83,"År",2020)))),)</f>
        <v>3.802197802197802</v>
      </c>
      <c r="J311" s="105">
        <f>IFERROR(IF(J$312&lt;7,,((GETPIVOTDATA("F27",pivot!$O$83,"År",2021)))),)</f>
        <v>3.7272727272727271</v>
      </c>
      <c r="K311" s="165">
        <f>IFERROR(IF(K$312&lt;7,,((GETPIVOTDATA("F27",pivot!$O$83,"År",2022)))),)</f>
        <v>3.797752808988764</v>
      </c>
      <c r="L311" s="148">
        <f>IFERROR(IF(L$312&lt;7,,((GETPIVOTDATA("F27",pivot!$O$83,"År",2023)))),)</f>
        <v>3.7037037037037037</v>
      </c>
      <c r="M311" s="104">
        <v>3.7037037037037037</v>
      </c>
      <c r="N311" s="8"/>
      <c r="O311" s="8"/>
      <c r="P311" s="8"/>
      <c r="Q311" s="51"/>
      <c r="R311" s="51"/>
      <c r="S311" s="51"/>
      <c r="T311" s="8"/>
      <c r="U311" s="8"/>
      <c r="V311" s="8"/>
      <c r="W311" s="8"/>
      <c r="X311" s="8"/>
      <c r="Y311" s="8"/>
      <c r="Z311" s="8"/>
    </row>
    <row r="312" spans="2:26" ht="14.5" x14ac:dyDescent="0.35">
      <c r="B312" s="71" t="s">
        <v>8</v>
      </c>
      <c r="C312" s="75"/>
      <c r="D312" s="75"/>
      <c r="E312" s="75"/>
      <c r="F312" s="75"/>
      <c r="G312" s="80"/>
      <c r="H312" s="80">
        <f>IFERROR(GETPIVOTDATA("F27",pivot!$A$83,"År",2019),)</f>
        <v>72</v>
      </c>
      <c r="I312" s="80">
        <f>IFERROR(GETPIVOTDATA("F27",pivot!$A$83,"År",2020),)</f>
        <v>95</v>
      </c>
      <c r="J312" s="80">
        <f>IFERROR(GETPIVOTDATA("F27",pivot!$A$83,"År",2021),)</f>
        <v>92</v>
      </c>
      <c r="K312" s="76">
        <f>IFERROR(GETPIVOTDATA("F27",pivot!$A$83,"År",2022),)</f>
        <v>97</v>
      </c>
      <c r="L312" s="158">
        <f>IFERROR(GETPIVOTDATA("F27",pivot!$A$83,"År",2023),)</f>
        <v>88</v>
      </c>
      <c r="M312" s="80">
        <v>88</v>
      </c>
      <c r="N312" s="8"/>
      <c r="O312" s="8"/>
      <c r="P312" s="8"/>
      <c r="Q312" s="51"/>
      <c r="R312" s="51"/>
      <c r="S312" s="51"/>
      <c r="T312" s="8"/>
      <c r="U312" s="8"/>
      <c r="V312" s="8"/>
      <c r="W312" s="8"/>
      <c r="X312" s="8"/>
      <c r="Y312" s="8"/>
      <c r="Z312" s="8"/>
    </row>
    <row r="313" spans="2:26" ht="14.5" x14ac:dyDescent="0.35">
      <c r="B313" s="8"/>
      <c r="C313" s="8"/>
      <c r="D313" s="51"/>
      <c r="E313" s="51"/>
      <c r="F313" s="8"/>
      <c r="G313" s="8"/>
      <c r="H313" s="8"/>
      <c r="I313" s="8"/>
      <c r="J313" s="8"/>
      <c r="K313" s="8"/>
      <c r="L313" s="8"/>
      <c r="M313" s="153"/>
      <c r="N313" s="8"/>
      <c r="O313" s="8"/>
      <c r="P313" s="51"/>
      <c r="Q313" s="51"/>
      <c r="R313" s="51"/>
      <c r="S313" s="8"/>
      <c r="T313" s="8"/>
      <c r="U313" s="8"/>
      <c r="V313" s="8"/>
      <c r="W313" s="8"/>
      <c r="X313" s="8"/>
      <c r="Y313" s="8"/>
    </row>
    <row r="314" spans="2:26" ht="14.5" x14ac:dyDescent="0.35">
      <c r="B314" s="8"/>
      <c r="C314" s="8"/>
      <c r="D314" s="51"/>
      <c r="E314" s="51"/>
      <c r="F314" s="8"/>
      <c r="G314" s="8"/>
      <c r="H314" s="8"/>
      <c r="I314" s="8"/>
      <c r="J314" s="8"/>
      <c r="K314" s="8"/>
      <c r="L314" s="8"/>
      <c r="M314" s="153"/>
      <c r="N314" s="8"/>
      <c r="O314" s="8"/>
      <c r="P314" s="51"/>
      <c r="Q314" s="51"/>
      <c r="R314" s="51"/>
      <c r="S314" s="8"/>
      <c r="T314" s="8"/>
      <c r="U314" s="8"/>
      <c r="V314" s="8"/>
      <c r="W314" s="8"/>
      <c r="X314" s="8"/>
      <c r="Y314" s="8"/>
    </row>
    <row r="315" spans="2:26" ht="15.5" x14ac:dyDescent="0.35">
      <c r="B315" s="124" t="s">
        <v>72</v>
      </c>
      <c r="C315" s="8"/>
      <c r="D315" s="51"/>
      <c r="E315" s="51"/>
      <c r="F315" s="8"/>
      <c r="G315" s="8"/>
      <c r="H315" s="8"/>
      <c r="I315" s="8"/>
      <c r="J315" s="8"/>
      <c r="K315" s="8"/>
      <c r="L315" s="8"/>
      <c r="M315" s="153"/>
      <c r="N315" s="8"/>
      <c r="O315" s="8"/>
      <c r="P315" s="51"/>
      <c r="Q315" s="51"/>
      <c r="R315" s="51"/>
      <c r="S315" s="8"/>
      <c r="T315" s="8"/>
      <c r="U315" s="8"/>
      <c r="V315" s="8"/>
      <c r="W315" s="8"/>
      <c r="X315" s="8"/>
      <c r="Y315" s="8"/>
    </row>
    <row r="316" spans="2:26" ht="14.5" x14ac:dyDescent="0.35">
      <c r="B316" s="60"/>
      <c r="C316" s="49"/>
      <c r="D316" s="50"/>
      <c r="E316" s="50"/>
      <c r="F316" s="50"/>
      <c r="G316" s="50"/>
      <c r="I316" s="151"/>
      <c r="J316" s="151"/>
      <c r="K316" s="151"/>
      <c r="L316" s="150" t="str">
        <f>$G$7</f>
        <v>(Alla)</v>
      </c>
      <c r="M316" s="177" t="s">
        <v>6</v>
      </c>
      <c r="N316" s="8"/>
      <c r="O316" s="8"/>
      <c r="P316" s="51"/>
      <c r="Q316" s="51"/>
      <c r="R316" s="51"/>
      <c r="S316" s="8"/>
      <c r="T316" s="8"/>
      <c r="U316" s="8"/>
      <c r="V316" s="8"/>
      <c r="W316" s="8"/>
      <c r="X316" s="8"/>
      <c r="Y316" s="8"/>
    </row>
    <row r="317" spans="2:26" ht="14.5" x14ac:dyDescent="0.35">
      <c r="C317" s="18"/>
      <c r="D317" s="18"/>
      <c r="E317" s="18"/>
      <c r="F317" s="18"/>
      <c r="G317" s="18"/>
      <c r="H317" s="18">
        <v>2019</v>
      </c>
      <c r="I317" s="18">
        <v>2020</v>
      </c>
      <c r="J317" s="18">
        <v>2021</v>
      </c>
      <c r="K317" s="9">
        <v>2022</v>
      </c>
      <c r="L317" s="155">
        <v>2023</v>
      </c>
      <c r="M317" s="30">
        <v>2023</v>
      </c>
      <c r="N317" s="8"/>
      <c r="O317" s="8"/>
      <c r="P317" s="51"/>
      <c r="Q317" s="51"/>
      <c r="R317" s="51"/>
      <c r="S317" s="8"/>
      <c r="T317" s="8"/>
      <c r="U317" s="8"/>
      <c r="V317" s="8"/>
      <c r="W317" s="8"/>
      <c r="X317" s="8"/>
      <c r="Y317" s="8"/>
    </row>
    <row r="318" spans="2:26" ht="14.5" x14ac:dyDescent="0.35">
      <c r="B318" s="71" t="s">
        <v>46</v>
      </c>
      <c r="C318" s="72"/>
      <c r="D318" s="72"/>
      <c r="E318" s="72"/>
      <c r="F318" s="72"/>
      <c r="G318" s="72"/>
      <c r="H318" s="72">
        <f>IFERROR(IF(H$325&lt;7,,((GETPIVOTDATA("Maten på min skola är bra, sett till näringsinnehåll, utseende, smak och klimat- och miljöperspektiv",pivot!$I$276,"År",2019,"Maten på min skola är bra, sett till näringsinnehåll, utseende, smak och klimat- och miljöperspektiv",1)))),)</f>
        <v>2.5000000000000001E-2</v>
      </c>
      <c r="I318" s="72">
        <f>IFERROR(IF(I$325&lt;7,,((GETPIVOTDATA("Maten på min skola är bra, sett till näringsinnehåll, utseende, smak och klimat- och miljöperspektiv",pivot!$I$276,"År",2020,"Maten på min skola är bra, sett till näringsinnehåll, utseende, smak och klimat- och miljöperspektiv",1)))),)</f>
        <v>5.3191489361702128E-2</v>
      </c>
      <c r="J318" s="72">
        <f>IFERROR(IF(J$325&lt;7,,((GETPIVOTDATA("Maten på min skola är bra, sett till näringsinnehåll, utseende, smak och klimat- och miljöperspektiv",pivot!$I$276,"År",2021,"Maten på min skola är bra, sett till näringsinnehåll, utseende, smak och klimat- och miljöperspektiv",1)))),)</f>
        <v>0.11827956989247312</v>
      </c>
      <c r="K318" s="73">
        <f>IFERROR(IF(K$325&lt;7,,((GETPIVOTDATA("Maten på min skola är bra, sett till näringsinnehåll, utseende, smak och klimat- och miljöperspektiv",pivot!$I$276,"År",2022,"Maten på min skola är bra, sett till näringsinnehåll, utseende, smak och klimat- och miljöperspektiv",1)))),)</f>
        <v>7.1428571428571425E-2</v>
      </c>
      <c r="L318" s="89">
        <f>IFERROR(IF(L$325&lt;7,,((GETPIVOTDATA("Maten på min skola är bra, sett till näringsinnehåll, utseende, smak och klimat- och miljöperspektiv",pivot!$I$276,"År",2023,"Maten på min skola är bra, sett till näringsinnehåll, utseende, smak och klimat- och miljöperspektiv",1)))),)</f>
        <v>0.10344827586206896</v>
      </c>
      <c r="M318" s="72">
        <v>0.10344827586206896</v>
      </c>
      <c r="N318" s="8"/>
      <c r="O318" s="8"/>
      <c r="P318" s="51"/>
      <c r="Q318" s="51"/>
      <c r="R318" s="51"/>
      <c r="S318" s="8"/>
      <c r="T318" s="8"/>
      <c r="U318" s="8"/>
      <c r="V318" s="8"/>
      <c r="W318" s="8"/>
      <c r="X318" s="8"/>
      <c r="Y318" s="8"/>
    </row>
    <row r="319" spans="2:26" ht="14.5" x14ac:dyDescent="0.35">
      <c r="B319" s="74">
        <v>2</v>
      </c>
      <c r="C319" s="72"/>
      <c r="D319" s="72"/>
      <c r="E319" s="72"/>
      <c r="F319" s="72"/>
      <c r="G319" s="72"/>
      <c r="H319" s="72">
        <f>IFERROR(IF(H$325&lt;7,,((GETPIVOTDATA("Maten på min skola är bra, sett till näringsinnehåll, utseende, smak och klimat- och miljöperspektiv",pivot!$I$276,"År",2019,"Maten på min skola är bra, sett till näringsinnehåll, utseende, smak och klimat- och miljöperspektiv",2)))),)</f>
        <v>0.1125</v>
      </c>
      <c r="I319" s="72">
        <f>IFERROR(IF(I$325&lt;7,,((GETPIVOTDATA("Maten på min skola är bra, sett till näringsinnehåll, utseende, smak och klimat- och miljöperspektiv",pivot!$I$276,"År",2020,"Maten på min skola är bra, sett till näringsinnehåll, utseende, smak och klimat- och miljöperspektiv",2)))),)</f>
        <v>0.11702127659574468</v>
      </c>
      <c r="J319" s="72">
        <f>IFERROR(IF(J$325&lt;7,,((GETPIVOTDATA("Maten på min skola är bra, sett till näringsinnehåll, utseende, smak och klimat- och miljöperspektiv",pivot!$I$276,"År",2021,"Maten på min skola är bra, sett till näringsinnehåll, utseende, smak och klimat- och miljöperspektiv",2)))),)</f>
        <v>3.2258064516129031E-2</v>
      </c>
      <c r="K319" s="73">
        <f>IFERROR(IF(K$325&lt;7,,((GETPIVOTDATA("Maten på min skola är bra, sett till näringsinnehåll, utseende, smak och klimat- och miljöperspektiv",pivot!$I$276,"År",2022,"Maten på min skola är bra, sett till näringsinnehåll, utseende, smak och klimat- och miljöperspektiv",2)))),)</f>
        <v>0.11224489795918367</v>
      </c>
      <c r="L319" s="89">
        <f>IFERROR(IF(L$325&lt;7,,((GETPIVOTDATA("Maten på min skola är bra, sett till näringsinnehåll, utseende, smak och klimat- och miljöperspektiv",pivot!$I$276,"År",2023,"Maten på min skola är bra, sett till näringsinnehåll, utseende, smak och klimat- och miljöperspektiv",2)))),)</f>
        <v>8.0459770114942528E-2</v>
      </c>
      <c r="M319" s="72">
        <v>8.0459770114942528E-2</v>
      </c>
      <c r="N319" s="8"/>
      <c r="O319" s="8"/>
      <c r="P319" s="51"/>
      <c r="Q319" s="51"/>
      <c r="R319" s="51"/>
      <c r="S319" s="8"/>
      <c r="T319" s="8"/>
      <c r="U319" s="8"/>
      <c r="V319" s="8"/>
      <c r="W319" s="8"/>
      <c r="X319" s="8"/>
      <c r="Y319" s="8"/>
    </row>
    <row r="320" spans="2:26" ht="14.5" x14ac:dyDescent="0.35">
      <c r="B320" s="74">
        <v>3</v>
      </c>
      <c r="C320" s="72"/>
      <c r="D320" s="72"/>
      <c r="E320" s="72"/>
      <c r="F320" s="72"/>
      <c r="G320" s="72"/>
      <c r="H320" s="72">
        <f>IFERROR(IF(H$325&lt;7,,((GETPIVOTDATA("Maten på min skola är bra, sett till näringsinnehåll, utseende, smak och klimat- och miljöperspektiv",pivot!$I$276,"År",2019,"Maten på min skola är bra, sett till näringsinnehåll, utseende, smak och klimat- och miljöperspektiv",3)))),)</f>
        <v>0.28749999999999998</v>
      </c>
      <c r="I320" s="72">
        <f>IFERROR(IF(I$325&lt;7,,((GETPIVOTDATA("Maten på min skola är bra, sett till näringsinnehåll, utseende, smak och klimat- och miljöperspektiv",pivot!$I$276,"År",2020,"Maten på min skola är bra, sett till näringsinnehåll, utseende, smak och klimat- och miljöperspektiv",3)))),)</f>
        <v>0.38297872340425532</v>
      </c>
      <c r="J320" s="72">
        <f>IFERROR(IF(J$325&lt;7,,((GETPIVOTDATA("Maten på min skola är bra, sett till näringsinnehåll, utseende, smak och klimat- och miljöperspektiv",pivot!$I$276,"År",2021,"Maten på min skola är bra, sett till näringsinnehåll, utseende, smak och klimat- och miljöperspektiv",3)))),)</f>
        <v>0.38709677419354838</v>
      </c>
      <c r="K320" s="73">
        <f>IFERROR(IF(K$325&lt;7,,((GETPIVOTDATA("Maten på min skola är bra, sett till näringsinnehåll, utseende, smak och klimat- och miljöperspektiv",pivot!$I$276,"År",2022,"Maten på min skola är bra, sett till näringsinnehåll, utseende, smak och klimat- och miljöperspektiv",3)))),)</f>
        <v>0.35714285714285715</v>
      </c>
      <c r="L320" s="89">
        <f>IFERROR(IF(L$325&lt;7,,((GETPIVOTDATA("Maten på min skola är bra, sett till näringsinnehåll, utseende, smak och klimat- och miljöperspektiv",pivot!$I$276,"År",2023,"Maten på min skola är bra, sett till näringsinnehåll, utseende, smak och klimat- och miljöperspektiv",3)))),)</f>
        <v>0.31034482758620691</v>
      </c>
      <c r="M320" s="72">
        <v>0.31034482758620691</v>
      </c>
      <c r="N320" s="8"/>
      <c r="O320" s="8"/>
      <c r="P320" s="51"/>
      <c r="Q320" s="51"/>
      <c r="R320" s="51"/>
      <c r="S320" s="8"/>
      <c r="T320" s="8"/>
      <c r="U320" s="8"/>
      <c r="V320" s="8"/>
      <c r="W320" s="8"/>
      <c r="X320" s="8"/>
      <c r="Y320" s="8"/>
    </row>
    <row r="321" spans="2:25" ht="14.5" x14ac:dyDescent="0.35">
      <c r="B321" s="74" t="s">
        <v>47</v>
      </c>
      <c r="C321" s="72"/>
      <c r="D321" s="72"/>
      <c r="E321" s="72"/>
      <c r="F321" s="72"/>
      <c r="G321" s="72"/>
      <c r="H321" s="72">
        <f>IFERROR(IF(H$325&lt;7,,((GETPIVOTDATA("Maten på min skola är bra, sett till näringsinnehåll, utseende, smak och klimat- och miljöperspektiv",pivot!$I$276,"År",2019,"Maten på min skola är bra, sett till näringsinnehåll, utseende, smak och klimat- och miljöperspektiv",4)))),)</f>
        <v>0.52500000000000002</v>
      </c>
      <c r="I321" s="72">
        <f>IFERROR(IF(I$325&lt;7,,((GETPIVOTDATA("Maten på min skola är bra, sett till näringsinnehåll, utseende, smak och klimat- och miljöperspektiv",pivot!$I$276,"År",2020,"Maten på min skola är bra, sett till näringsinnehåll, utseende, smak och klimat- och miljöperspektiv",4)))),)</f>
        <v>0.38297872340425532</v>
      </c>
      <c r="J321" s="72">
        <f>IFERROR(IF(J$325&lt;7,,((GETPIVOTDATA("Maten på min skola är bra, sett till näringsinnehåll, utseende, smak och klimat- och miljöperspektiv",pivot!$I$276,"År",2021,"Maten på min skola är bra, sett till näringsinnehåll, utseende, smak och klimat- och miljöperspektiv",4)))),)</f>
        <v>0.37634408602150538</v>
      </c>
      <c r="K321" s="73">
        <f>IFERROR(IF(K$325&lt;7,,((GETPIVOTDATA("Maten på min skola är bra, sett till näringsinnehåll, utseende, smak och klimat- och miljöperspektiv",pivot!$I$276,"År",2022,"Maten på min skola är bra, sett till näringsinnehåll, utseende, smak och klimat- och miljöperspektiv",4)))),)</f>
        <v>0.38775510204081631</v>
      </c>
      <c r="L321" s="89">
        <f>IFERROR(IF(L$325&lt;7,,((GETPIVOTDATA("Maten på min skola är bra, sett till näringsinnehåll, utseende, smak och klimat- och miljöperspektiv",pivot!$I$276,"År",2023,"Maten på min skola är bra, sett till näringsinnehåll, utseende, smak och klimat- och miljöperspektiv",4)))),)</f>
        <v>0.37931034482758619</v>
      </c>
      <c r="M321" s="72">
        <v>0.37931034482758619</v>
      </c>
      <c r="N321" s="8"/>
      <c r="O321" s="8"/>
      <c r="P321" s="51"/>
      <c r="Q321" s="51"/>
      <c r="R321" s="51"/>
      <c r="S321" s="8"/>
      <c r="T321" s="8"/>
      <c r="U321" s="8"/>
      <c r="V321" s="8"/>
      <c r="W321" s="8"/>
      <c r="X321" s="8"/>
      <c r="Y321" s="8"/>
    </row>
    <row r="322" spans="2:25" ht="14.5" x14ac:dyDescent="0.35">
      <c r="B322" s="74" t="s">
        <v>2</v>
      </c>
      <c r="C322" s="72"/>
      <c r="D322" s="72"/>
      <c r="E322" s="72"/>
      <c r="F322" s="72"/>
      <c r="G322" s="72"/>
      <c r="H322" s="72">
        <f>IFERROR(IF(H$325&lt;7,,((GETPIVOTDATA("Maten på min skola är bra, sett till näringsinnehåll, utseende, smak och klimat- och miljöperspektiv",pivot!$I$276,"År",2019,"Maten på min skola är bra, sett till näringsinnehåll, utseende, smak och klimat- och miljöperspektiv",5)))),)</f>
        <v>0.05</v>
      </c>
      <c r="I322" s="72">
        <f>IFERROR(IF(I$325&lt;7,,((GETPIVOTDATA("Maten på min skola är bra, sett till näringsinnehåll, utseende, smak och klimat- och miljöperspektiv",pivot!$I$276,"År",2020,"Maten på min skola är bra, sett till näringsinnehåll, utseende, smak och klimat- och miljöperspektiv",5)))),)</f>
        <v>6.3829787234042548E-2</v>
      </c>
      <c r="J322" s="72">
        <f>IFERROR(IF(J$325&lt;7,,((GETPIVOTDATA("Maten på min skola är bra, sett till näringsinnehåll, utseende, smak och klimat- och miljöperspektiv",pivot!$I$276,"År",2021,"Maten på min skola är bra, sett till näringsinnehåll, utseende, smak och klimat- och miljöperspektiv",5)))),)</f>
        <v>8.6021505376344093E-2</v>
      </c>
      <c r="K322" s="73">
        <f>IFERROR(IF(K$325&lt;7,,((GETPIVOTDATA("Maten på min skola är bra, sett till näringsinnehåll, utseende, smak och klimat- och miljöperspektiv",pivot!$I$276,"År",2022,"Maten på min skola är bra, sett till näringsinnehåll, utseende, smak och klimat- och miljöperspektiv",5)))),)</f>
        <v>7.1428571428571425E-2</v>
      </c>
      <c r="L322" s="89">
        <f>IFERROR(IF(L$325&lt;7,,((GETPIVOTDATA("Maten på min skola är bra, sett till näringsinnehåll, utseende, smak och klimat- och miljöperspektiv",pivot!$I$276,"År",2023,"Maten på min skola är bra, sett till näringsinnehåll, utseende, smak och klimat- och miljöperspektiv",5)))),)</f>
        <v>0.12643678160919541</v>
      </c>
      <c r="M322" s="72">
        <v>0.12643678160919541</v>
      </c>
      <c r="N322" s="8"/>
      <c r="O322" s="8"/>
      <c r="P322" s="51"/>
      <c r="Q322" s="51"/>
      <c r="R322" s="51"/>
      <c r="S322" s="8"/>
      <c r="T322" s="8"/>
      <c r="U322" s="8"/>
      <c r="V322" s="8"/>
      <c r="W322" s="8"/>
      <c r="X322" s="8"/>
      <c r="Y322" s="8"/>
    </row>
    <row r="323" spans="2:25" ht="14.5" x14ac:dyDescent="0.35">
      <c r="B323" s="71" t="s">
        <v>6</v>
      </c>
      <c r="C323" s="72"/>
      <c r="D323" s="72"/>
      <c r="E323" s="72"/>
      <c r="F323" s="72"/>
      <c r="G323" s="72"/>
      <c r="H323" s="72">
        <f>IFERROR(SUM(H318:H322),"-")</f>
        <v>1</v>
      </c>
      <c r="I323" s="72">
        <f>IFERROR(SUM(I318:I322),"-")</f>
        <v>1</v>
      </c>
      <c r="J323" s="72">
        <f>IFERROR(SUM(J318:J322),"-")</f>
        <v>1</v>
      </c>
      <c r="K323" s="73">
        <f>IFERROR(SUM(K318:K322),"-")</f>
        <v>1</v>
      </c>
      <c r="L323" s="89">
        <f>IFERROR(SUM(L318:L322),"-")</f>
        <v>1</v>
      </c>
      <c r="M323" s="72">
        <v>1</v>
      </c>
      <c r="N323" s="8"/>
      <c r="O323" s="8"/>
      <c r="P323" s="51"/>
      <c r="Q323" s="51"/>
      <c r="R323" s="51"/>
      <c r="S323" s="8"/>
      <c r="T323" s="8"/>
      <c r="U323" s="8"/>
      <c r="V323" s="8"/>
      <c r="W323" s="8"/>
      <c r="X323" s="8"/>
      <c r="Y323" s="8"/>
    </row>
    <row r="324" spans="2:25" ht="14.5" x14ac:dyDescent="0.35">
      <c r="B324" s="106" t="s">
        <v>7</v>
      </c>
      <c r="C324" s="107"/>
      <c r="D324" s="107"/>
      <c r="E324" s="107"/>
      <c r="F324" s="107"/>
      <c r="G324" s="107"/>
      <c r="H324" s="107">
        <f>IFERROR(IF(H$325&lt;7,,((GETPIVOTDATA("Maten på min skola är bra, sett till näringsinnehåll, utseende, smak och klimat- och miljöperspektiv",pivot!$P$276,"År",2019)))),)</f>
        <v>3.3815789473684212</v>
      </c>
      <c r="I324" s="107">
        <f>IFERROR(IF(I$325&lt;7,,((GETPIVOTDATA("Maten på min skola är bra, sett till näringsinnehåll, utseende, smak och klimat- och miljöperspektiv",pivot!$P$276,"År",2020)))),)</f>
        <v>3.1704545454545454</v>
      </c>
      <c r="J324" s="107">
        <f>IFERROR(IF(J$325&lt;7,,((GETPIVOTDATA("Maten på min skola är bra, sett till näringsinnehåll, utseende, smak och klimat- och miljöperspektiv",pivot!$P$276,"År",2021)))),)</f>
        <v>3.1176470588235294</v>
      </c>
      <c r="K324" s="172">
        <f>IFERROR(IF(K$325&lt;7,,((GETPIVOTDATA("Maten på min skola är bra, sett till näringsinnehåll, utseende, smak och klimat- och miljöperspektiv",pivot!$P$276,"År",2022)))),)</f>
        <v>3.1428571428571428</v>
      </c>
      <c r="L324" s="162">
        <f>IFERROR(IF(L$325&lt;7,,((GETPIVOTDATA("Maten på min skola är bra, sett till näringsinnehåll, utseende, smak och klimat- och miljöperspektiv",pivot!$P$276,"År",2023)))),)</f>
        <v>3.1052631578947367</v>
      </c>
      <c r="M324" s="107">
        <v>3.1052631578947367</v>
      </c>
      <c r="N324" s="8"/>
      <c r="O324" s="8"/>
      <c r="P324" s="51"/>
      <c r="Q324" s="51"/>
      <c r="R324" s="51"/>
      <c r="S324" s="8"/>
      <c r="T324" s="8"/>
      <c r="U324" s="8"/>
      <c r="V324" s="8"/>
      <c r="W324" s="8"/>
      <c r="X324" s="8"/>
      <c r="Y324" s="8"/>
    </row>
    <row r="325" spans="2:25" ht="14.5" x14ac:dyDescent="0.35">
      <c r="B325" s="71" t="s">
        <v>8</v>
      </c>
      <c r="C325" s="75"/>
      <c r="D325" s="75"/>
      <c r="E325" s="75"/>
      <c r="F325" s="75"/>
      <c r="G325" s="75"/>
      <c r="H325" s="80">
        <f>IFERROR(GETPIVOTDATA("Maten på min skola är bra, sett till näringsinnehåll, utseende, smak och klimat- och miljöperspektiv",pivot!$A$276,"År",2019),)</f>
        <v>80</v>
      </c>
      <c r="I325" s="80">
        <f>IFERROR(GETPIVOTDATA("Maten på min skola är bra, sett till näringsinnehåll, utseende, smak och klimat- och miljöperspektiv",pivot!$A$276,"År",2020),)</f>
        <v>94</v>
      </c>
      <c r="J325" s="80">
        <f>IFERROR(GETPIVOTDATA("Maten på min skola är bra, sett till näringsinnehåll, utseende, smak och klimat- och miljöperspektiv",pivot!$A$276,"År",2021),)</f>
        <v>93</v>
      </c>
      <c r="K325" s="76">
        <f>IFERROR(GETPIVOTDATA("Maten på min skola är bra, sett till näringsinnehåll, utseende, smak och klimat- och miljöperspektiv",pivot!$A$276,"År",2022),)</f>
        <v>98</v>
      </c>
      <c r="L325" s="158">
        <f>IFERROR(GETPIVOTDATA("Maten på min skola är bra, sett till näringsinnehåll, utseende, smak och klimat- och miljöperspektiv",pivot!$A$276,"År",2023),)</f>
        <v>87</v>
      </c>
      <c r="M325" s="80">
        <v>87</v>
      </c>
      <c r="N325" s="8"/>
      <c r="O325" s="8"/>
      <c r="P325" s="51"/>
      <c r="Q325" s="51"/>
      <c r="R325" s="51"/>
      <c r="S325" s="8"/>
      <c r="T325" s="8"/>
      <c r="U325" s="8"/>
      <c r="V325" s="8"/>
      <c r="W325" s="8"/>
      <c r="X325" s="8"/>
      <c r="Y325" s="8"/>
    </row>
    <row r="326" spans="2:25" ht="14.5" x14ac:dyDescent="0.35">
      <c r="B326" s="8"/>
      <c r="C326" s="8"/>
      <c r="D326" s="51"/>
      <c r="E326" s="51"/>
      <c r="F326" s="8"/>
      <c r="G326" s="8"/>
      <c r="H326" s="8"/>
      <c r="I326" s="8"/>
      <c r="J326" s="8"/>
      <c r="K326" s="8"/>
      <c r="L326" s="8"/>
      <c r="M326" s="91"/>
      <c r="N326" s="8"/>
      <c r="O326" s="8"/>
      <c r="P326" s="51"/>
      <c r="Q326" s="51"/>
      <c r="R326" s="51"/>
      <c r="S326" s="8"/>
      <c r="T326" s="8"/>
      <c r="U326" s="8"/>
      <c r="V326" s="8"/>
      <c r="W326" s="8"/>
      <c r="X326" s="8"/>
      <c r="Y326" s="8"/>
    </row>
    <row r="327" spans="2:25" ht="14.5" x14ac:dyDescent="0.35">
      <c r="B327" s="8"/>
      <c r="C327" s="8"/>
      <c r="D327" s="51"/>
      <c r="E327" s="51"/>
      <c r="F327" s="8"/>
      <c r="G327" s="8"/>
      <c r="H327" s="8"/>
      <c r="I327" s="8"/>
      <c r="J327" s="8"/>
      <c r="K327" s="8"/>
      <c r="L327" s="8"/>
      <c r="M327" s="91"/>
      <c r="N327" s="8"/>
      <c r="O327" s="8"/>
      <c r="P327" s="51"/>
      <c r="Q327" s="51"/>
      <c r="R327" s="51"/>
      <c r="S327" s="8"/>
      <c r="T327" s="8"/>
      <c r="U327" s="8"/>
      <c r="V327" s="8"/>
      <c r="W327" s="8"/>
      <c r="X327" s="8"/>
      <c r="Y327" s="8"/>
    </row>
    <row r="328" spans="2:25" ht="15.5" x14ac:dyDescent="0.35">
      <c r="B328" s="124" t="s">
        <v>62</v>
      </c>
      <c r="C328" s="8"/>
      <c r="D328" s="51"/>
      <c r="E328" s="51"/>
      <c r="F328" s="8"/>
      <c r="G328" s="8"/>
      <c r="H328" s="8"/>
      <c r="I328" s="8"/>
      <c r="J328" s="8"/>
      <c r="K328" s="8"/>
      <c r="L328" s="8"/>
      <c r="M328" s="91"/>
      <c r="N328" s="8"/>
      <c r="O328" s="8"/>
      <c r="P328" s="51"/>
      <c r="Q328" s="51"/>
      <c r="R328" s="51"/>
      <c r="S328" s="8"/>
      <c r="T328" s="8"/>
      <c r="U328" s="8"/>
      <c r="V328" s="8"/>
      <c r="W328" s="8"/>
      <c r="X328" s="8"/>
      <c r="Y328" s="8"/>
    </row>
    <row r="329" spans="2:25" ht="14.5" x14ac:dyDescent="0.35">
      <c r="B329" s="60"/>
      <c r="C329" s="49"/>
      <c r="D329" s="50"/>
      <c r="E329" s="50"/>
      <c r="F329" s="50"/>
      <c r="G329" s="50"/>
      <c r="I329" s="151"/>
      <c r="J329" s="151"/>
      <c r="K329" s="151"/>
      <c r="L329" s="150" t="str">
        <f>$G$7</f>
        <v>(Alla)</v>
      </c>
      <c r="M329" s="177" t="s">
        <v>6</v>
      </c>
      <c r="N329" s="8"/>
      <c r="O329" s="8"/>
      <c r="P329" s="51"/>
      <c r="Q329" s="51"/>
      <c r="R329" s="51"/>
      <c r="S329" s="8"/>
      <c r="T329" s="8"/>
      <c r="U329" s="8"/>
      <c r="V329" s="8"/>
      <c r="W329" s="8"/>
      <c r="X329" s="8"/>
      <c r="Y329" s="8"/>
    </row>
    <row r="330" spans="2:25" ht="14.5" x14ac:dyDescent="0.35">
      <c r="C330" s="18"/>
      <c r="D330" s="18"/>
      <c r="E330" s="18"/>
      <c r="F330" s="18"/>
      <c r="G330" s="18"/>
      <c r="H330" s="18">
        <v>2019</v>
      </c>
      <c r="I330" s="18">
        <v>2020</v>
      </c>
      <c r="J330" s="18">
        <v>2021</v>
      </c>
      <c r="K330" s="9">
        <v>2022</v>
      </c>
      <c r="L330" s="155">
        <v>2023</v>
      </c>
      <c r="M330" s="30">
        <v>2023</v>
      </c>
      <c r="N330" s="8"/>
      <c r="O330" s="8"/>
      <c r="P330" s="51"/>
      <c r="Q330" s="51"/>
      <c r="R330" s="51"/>
      <c r="S330" s="8"/>
      <c r="T330" s="8"/>
      <c r="U330" s="8"/>
      <c r="V330" s="8"/>
      <c r="W330" s="8"/>
      <c r="X330" s="8"/>
      <c r="Y330" s="8"/>
    </row>
    <row r="331" spans="2:25" ht="14.5" x14ac:dyDescent="0.35">
      <c r="B331" s="71" t="s">
        <v>46</v>
      </c>
      <c r="C331" s="72"/>
      <c r="D331" s="72"/>
      <c r="E331" s="72"/>
      <c r="F331" s="72"/>
      <c r="G331" s="72"/>
      <c r="H331" s="72">
        <f>IFERROR(IF(H$338&lt;7,,((GETPIVOTDATA("Jag väljer att äta mig mätt i skolan",pivot!$I$287,"År",2019,"Jag väljer att äta mig mätt i skolan",1)))),)</f>
        <v>3.7499999999999999E-2</v>
      </c>
      <c r="I331" s="72">
        <f>IFERROR(IF(I$338&lt;7,,((GETPIVOTDATA("Jag väljer att äta mig mätt i skolan",pivot!$I$287,"År",2020,"Jag väljer att äta mig mätt i skolan",1)))),)</f>
        <v>5.2083333333333336E-2</v>
      </c>
      <c r="J331" s="72">
        <f>IFERROR(IF(J$338&lt;7,,((GETPIVOTDATA("Jag väljer att äta mig mätt i skolan",pivot!$I$287,"År",2021,"Jag väljer att äta mig mätt i skolan",1)))),)</f>
        <v>7.5268817204301078E-2</v>
      </c>
      <c r="K331" s="73">
        <f>IFERROR(IF(K$338&lt;7,,((GETPIVOTDATA("Jag väljer att äta mig mätt i skolan",pivot!$I$287,"År",2022,"Jag väljer att äta mig mätt i skolan",1)))),)</f>
        <v>4.0816326530612242E-2</v>
      </c>
      <c r="L331" s="89">
        <f>IFERROR(IF(L$338&lt;7,,((GETPIVOTDATA("Jag väljer att äta mig mätt i skolan",pivot!$I$287,"År",2023,"Jag väljer att äta mig mätt i skolan",1)))),)</f>
        <v>5.7471264367816091E-2</v>
      </c>
      <c r="M331" s="72">
        <v>5.7471264367816091E-2</v>
      </c>
      <c r="N331" s="8"/>
      <c r="O331" s="8"/>
      <c r="P331" s="51"/>
      <c r="Q331" s="51"/>
      <c r="R331" s="51"/>
      <c r="S331" s="8"/>
      <c r="T331" s="8"/>
      <c r="U331" s="8"/>
      <c r="V331" s="8"/>
      <c r="W331" s="8"/>
      <c r="X331" s="8"/>
      <c r="Y331" s="8"/>
    </row>
    <row r="332" spans="2:25" ht="14.5" x14ac:dyDescent="0.35">
      <c r="B332" s="74">
        <v>2</v>
      </c>
      <c r="C332" s="72"/>
      <c r="D332" s="72"/>
      <c r="E332" s="72"/>
      <c r="F332" s="72"/>
      <c r="G332" s="72"/>
      <c r="H332" s="72">
        <f>IFERROR(IF(H$338&lt;7,,((GETPIVOTDATA("Jag väljer att äta mig mätt i skolan",pivot!$I$287,"År",2019,"Jag väljer att äta mig mätt i skolan",2)))),)</f>
        <v>2.5000000000000001E-2</v>
      </c>
      <c r="I332" s="72">
        <f>IFERROR(IF(I$338&lt;7,,((GETPIVOTDATA("Jag väljer att äta mig mätt i skolan",pivot!$I$287,"År",2020,"Jag väljer att äta mig mätt i skolan",2)))),)</f>
        <v>3.125E-2</v>
      </c>
      <c r="J332" s="72">
        <f>IFERROR(IF(J$338&lt;7,,((GETPIVOTDATA("Jag väljer att äta mig mätt i skolan",pivot!$I$287,"År",2021,"Jag väljer att äta mig mätt i skolan",2)))),)</f>
        <v>5.3763440860215055E-2</v>
      </c>
      <c r="K332" s="73">
        <f>IFERROR(IF(K$338&lt;7,,((GETPIVOTDATA("Jag väljer att äta mig mätt i skolan",pivot!$I$287,"År",2022,"Jag väljer att äta mig mätt i skolan",2)))),)</f>
        <v>7.1428571428571425E-2</v>
      </c>
      <c r="L332" s="89">
        <f>IFERROR(IF(L$338&lt;7,,((GETPIVOTDATA("Jag väljer att äta mig mätt i skolan",pivot!$I$287,"År",2023,"Jag väljer att äta mig mätt i skolan",2)))),)</f>
        <v>6.8965517241379309E-2</v>
      </c>
      <c r="M332" s="72">
        <v>6.8965517241379309E-2</v>
      </c>
      <c r="N332" s="8"/>
      <c r="O332" s="8"/>
      <c r="P332" s="51"/>
      <c r="Q332" s="51"/>
      <c r="R332" s="51"/>
      <c r="S332" s="8"/>
      <c r="T332" s="8"/>
      <c r="U332" s="8"/>
      <c r="V332" s="8"/>
      <c r="W332" s="8"/>
      <c r="X332" s="8"/>
      <c r="Y332" s="8"/>
    </row>
    <row r="333" spans="2:25" ht="14.5" x14ac:dyDescent="0.35">
      <c r="B333" s="74">
        <v>3</v>
      </c>
      <c r="C333" s="72"/>
      <c r="D333" s="72"/>
      <c r="E333" s="72"/>
      <c r="F333" s="72"/>
      <c r="G333" s="72"/>
      <c r="H333" s="72">
        <f>IFERROR(IF(H$338&lt;7,,((GETPIVOTDATA("Jag väljer att äta mig mätt i skolan",pivot!$I$287,"År",2019,"Jag väljer att äta mig mätt i skolan",3)))),)</f>
        <v>0.27500000000000002</v>
      </c>
      <c r="I333" s="72">
        <f>IFERROR(IF(I$338&lt;7,,((GETPIVOTDATA("Jag väljer att äta mig mätt i skolan",pivot!$I$287,"År",2020,"Jag väljer att äta mig mätt i skolan",3)))),)</f>
        <v>0.29166666666666669</v>
      </c>
      <c r="J333" s="72">
        <f>IFERROR(IF(J$338&lt;7,,((GETPIVOTDATA("Jag väljer att äta mig mätt i skolan",pivot!$I$287,"År",2021,"Jag väljer att äta mig mätt i skolan",3)))),)</f>
        <v>0.24731182795698925</v>
      </c>
      <c r="K333" s="73">
        <f>IFERROR(IF(K$338&lt;7,,((GETPIVOTDATA("Jag väljer att äta mig mätt i skolan",pivot!$I$287,"År",2022,"Jag väljer att äta mig mätt i skolan",3)))),)</f>
        <v>0.22448979591836735</v>
      </c>
      <c r="L333" s="89">
        <f>IFERROR(IF(L$338&lt;7,,((GETPIVOTDATA("Jag väljer att äta mig mätt i skolan",pivot!$I$287,"År",2023,"Jag väljer att äta mig mätt i skolan",3)))),)</f>
        <v>0.2988505747126437</v>
      </c>
      <c r="M333" s="72">
        <v>0.2988505747126437</v>
      </c>
      <c r="N333" s="8"/>
      <c r="O333" s="8"/>
      <c r="P333" s="51"/>
      <c r="Q333" s="51"/>
      <c r="R333" s="51"/>
      <c r="S333" s="8"/>
      <c r="T333" s="8"/>
      <c r="U333" s="8"/>
      <c r="V333" s="8"/>
      <c r="W333" s="8"/>
      <c r="X333" s="8"/>
      <c r="Y333" s="8"/>
    </row>
    <row r="334" spans="2:25" ht="14.5" x14ac:dyDescent="0.35">
      <c r="B334" s="74" t="s">
        <v>47</v>
      </c>
      <c r="C334" s="72"/>
      <c r="D334" s="72"/>
      <c r="E334" s="72"/>
      <c r="F334" s="72"/>
      <c r="G334" s="72"/>
      <c r="H334" s="72">
        <f>IFERROR(IF(H$338&lt;7,,((GETPIVOTDATA("Jag väljer att äta mig mätt i skolan",pivot!$I$287,"År",2019,"Jag väljer att äta mig mätt i skolan",4)))),)</f>
        <v>0.63749999999999996</v>
      </c>
      <c r="I334" s="72">
        <f>IFERROR(IF(I$338&lt;7,,((GETPIVOTDATA("Jag väljer att äta mig mätt i skolan",pivot!$I$287,"År",2020,"Jag väljer att äta mig mätt i skolan",4)))),)</f>
        <v>0.5625</v>
      </c>
      <c r="J334" s="72">
        <f>IFERROR(IF(J$338&lt;7,,((GETPIVOTDATA("Jag väljer att äta mig mätt i skolan",pivot!$I$287,"År",2021,"Jag väljer att äta mig mätt i skolan",4)))),)</f>
        <v>0.5376344086021505</v>
      </c>
      <c r="K334" s="73">
        <f>IFERROR(IF(K$338&lt;7,,((GETPIVOTDATA("Jag väljer att äta mig mätt i skolan",pivot!$I$287,"År",2022,"Jag väljer att äta mig mätt i skolan",4)))),)</f>
        <v>0.63265306122448983</v>
      </c>
      <c r="L334" s="89">
        <f>IFERROR(IF(L$338&lt;7,,((GETPIVOTDATA("Jag väljer att äta mig mätt i skolan",pivot!$I$287,"År",2023,"Jag väljer att äta mig mätt i skolan",4)))),)</f>
        <v>0.54022988505747127</v>
      </c>
      <c r="M334" s="72">
        <v>0.54022988505747127</v>
      </c>
      <c r="N334" s="8"/>
      <c r="O334" s="8"/>
      <c r="P334" s="51"/>
      <c r="Q334" s="51"/>
      <c r="R334" s="51"/>
      <c r="S334" s="8"/>
      <c r="T334" s="8"/>
      <c r="U334" s="8"/>
      <c r="V334" s="8"/>
      <c r="W334" s="8"/>
      <c r="X334" s="8"/>
      <c r="Y334" s="8"/>
    </row>
    <row r="335" spans="2:25" ht="14.5" x14ac:dyDescent="0.35">
      <c r="B335" s="74" t="s">
        <v>2</v>
      </c>
      <c r="C335" s="72"/>
      <c r="D335" s="72"/>
      <c r="E335" s="72"/>
      <c r="F335" s="72"/>
      <c r="G335" s="72"/>
      <c r="H335" s="72">
        <f>IFERROR(IF(H$338&lt;7,,((GETPIVOTDATA("Jag väljer att äta mig mätt i skolan",pivot!$I$287,"År",2019,"Jag väljer att äta mig mätt i skolan",5)))),)</f>
        <v>2.5000000000000001E-2</v>
      </c>
      <c r="I335" s="72">
        <f>IFERROR(IF(I$338&lt;7,,((GETPIVOTDATA("Jag väljer att äta mig mätt i skolan",pivot!$I$287,"År",2020,"Jag väljer att äta mig mätt i skolan",5)))),)</f>
        <v>6.25E-2</v>
      </c>
      <c r="J335" s="72">
        <f>IFERROR(IF(J$338&lt;7,,((GETPIVOTDATA("Jag väljer att äta mig mätt i skolan",pivot!$I$287,"År",2021,"Jag väljer att äta mig mätt i skolan",5)))),)</f>
        <v>8.6021505376344093E-2</v>
      </c>
      <c r="K335" s="73">
        <f>IFERROR(IF(K$338&lt;7,,((GETPIVOTDATA("Jag väljer att äta mig mätt i skolan",pivot!$I$287,"År",2022,"Jag väljer att äta mig mätt i skolan",5)))),)</f>
        <v>3.0612244897959183E-2</v>
      </c>
      <c r="L335" s="89">
        <f>IFERROR(IF(L$338&lt;7,,((GETPIVOTDATA("Jag väljer att äta mig mätt i skolan",pivot!$I$287,"År",2023,"Jag väljer att äta mig mätt i skolan",5)))),)</f>
        <v>3.4482758620689655E-2</v>
      </c>
      <c r="M335" s="72">
        <v>3.4482758620689655E-2</v>
      </c>
      <c r="N335" s="8"/>
      <c r="O335" s="8"/>
      <c r="P335" s="51"/>
      <c r="Q335" s="51"/>
      <c r="R335" s="51"/>
      <c r="S335" s="8"/>
      <c r="T335" s="8"/>
      <c r="U335" s="8"/>
      <c r="V335" s="8"/>
      <c r="W335" s="8"/>
      <c r="X335" s="8"/>
      <c r="Y335" s="8"/>
    </row>
    <row r="336" spans="2:25" ht="14.5" x14ac:dyDescent="0.35">
      <c r="B336" s="71" t="s">
        <v>6</v>
      </c>
      <c r="C336" s="72"/>
      <c r="D336" s="72"/>
      <c r="E336" s="72"/>
      <c r="F336" s="72"/>
      <c r="G336" s="72"/>
      <c r="H336" s="72">
        <f>IFERROR(SUM(H331:H335),"-")</f>
        <v>1</v>
      </c>
      <c r="I336" s="72">
        <f>IFERROR(SUM(I331:I335),"-")</f>
        <v>1</v>
      </c>
      <c r="J336" s="72">
        <f>IFERROR(SUM(J331:J335),"-")</f>
        <v>1</v>
      </c>
      <c r="K336" s="73">
        <f>IFERROR(SUM(K331:K335),"-")</f>
        <v>1</v>
      </c>
      <c r="L336" s="89">
        <f>IFERROR(SUM(L331:L335),"-")</f>
        <v>1</v>
      </c>
      <c r="M336" s="72">
        <v>1</v>
      </c>
      <c r="N336" s="8"/>
      <c r="O336" s="8"/>
      <c r="P336" s="51"/>
      <c r="Q336" s="51"/>
      <c r="R336" s="51"/>
      <c r="S336" s="8"/>
      <c r="T336" s="8"/>
      <c r="U336" s="8"/>
      <c r="V336" s="8"/>
      <c r="W336" s="8"/>
      <c r="X336" s="8"/>
      <c r="Y336" s="8"/>
    </row>
    <row r="337" spans="2:25" ht="14.5" x14ac:dyDescent="0.35">
      <c r="B337" s="106" t="s">
        <v>7</v>
      </c>
      <c r="C337" s="107"/>
      <c r="D337" s="107"/>
      <c r="E337" s="107"/>
      <c r="F337" s="107"/>
      <c r="G337" s="107"/>
      <c r="H337" s="107">
        <f>IFERROR(IF(H$338&lt;7,,((GETPIVOTDATA("Jag väljer att äta mig mätt i skolan",pivot!$P$287,"År",2019)))),)</f>
        <v>3.5512820512820511</v>
      </c>
      <c r="I337" s="107">
        <f>IFERROR(IF(I$338&lt;7,,((GETPIVOTDATA("Jag väljer att äta mig mätt i skolan",pivot!$P$287,"År",2020)))),)</f>
        <v>3.4555555555555557</v>
      </c>
      <c r="J337" s="107">
        <f>IFERROR(IF(J$338&lt;7,,((GETPIVOTDATA("Jag väljer att äta mig mätt i skolan",pivot!$P$287,"År",2021)))),)</f>
        <v>3.3647058823529412</v>
      </c>
      <c r="K337" s="172">
        <f>IFERROR(IF(K$338&lt;7,,((GETPIVOTDATA("Jag väljer att äta mig mätt i skolan",pivot!$P$287,"År",2022)))),)</f>
        <v>3.4947368421052634</v>
      </c>
      <c r="L337" s="162">
        <f>IFERROR(IF(L$338&lt;7,,((GETPIVOTDATA("Jag väljer att äta mig mätt i skolan",pivot!$P$287,"År",2023)))),)</f>
        <v>3.3690476190476191</v>
      </c>
      <c r="M337" s="107">
        <v>3.3690476190476191</v>
      </c>
      <c r="N337" s="8"/>
      <c r="O337" s="8"/>
      <c r="P337" s="51"/>
      <c r="Q337" s="51"/>
      <c r="R337" s="51"/>
      <c r="S337" s="8"/>
      <c r="T337" s="8"/>
      <c r="U337" s="8"/>
      <c r="V337" s="8"/>
      <c r="W337" s="8"/>
      <c r="X337" s="8"/>
      <c r="Y337" s="8"/>
    </row>
    <row r="338" spans="2:25" ht="14.5" x14ac:dyDescent="0.35">
      <c r="B338" s="71" t="s">
        <v>8</v>
      </c>
      <c r="C338" s="75"/>
      <c r="D338" s="75"/>
      <c r="E338" s="75"/>
      <c r="F338" s="75"/>
      <c r="G338" s="75"/>
      <c r="H338" s="80">
        <f>IFERROR(GETPIVOTDATA("Jag väljer att äta mig mätt i skolan",pivot!$A$287,"År",2019),)</f>
        <v>80</v>
      </c>
      <c r="I338" s="80">
        <f>IFERROR(GETPIVOTDATA("Jag väljer att äta mig mätt i skolan",pivot!$A$287,"År",2020),)</f>
        <v>96</v>
      </c>
      <c r="J338" s="80">
        <f>IFERROR(GETPIVOTDATA("Jag väljer att äta mig mätt i skolan",pivot!$A$287,"År",2021),)</f>
        <v>93</v>
      </c>
      <c r="K338" s="76">
        <f>IFERROR(GETPIVOTDATA("Jag väljer att äta mig mätt i skolan",pivot!$A$287,"År",2022),)</f>
        <v>98</v>
      </c>
      <c r="L338" s="158">
        <f>IFERROR(GETPIVOTDATA("Jag väljer att äta mig mätt i skolan",pivot!$A$287,"År",2023),)</f>
        <v>87</v>
      </c>
      <c r="M338" s="80">
        <v>87</v>
      </c>
      <c r="N338" s="8"/>
      <c r="O338" s="8"/>
      <c r="P338" s="51"/>
      <c r="Q338" s="51"/>
      <c r="R338" s="51"/>
      <c r="S338" s="8"/>
      <c r="T338" s="8"/>
      <c r="U338" s="8"/>
      <c r="V338" s="8"/>
      <c r="W338" s="8"/>
      <c r="X338" s="8"/>
      <c r="Y338" s="8"/>
    </row>
    <row r="339" spans="2:25" ht="14.5" x14ac:dyDescent="0.35">
      <c r="B339" s="8"/>
      <c r="C339" s="8"/>
      <c r="D339" s="51"/>
      <c r="E339" s="51"/>
      <c r="F339" s="8"/>
      <c r="G339" s="8"/>
      <c r="H339" s="8"/>
      <c r="I339" s="8"/>
      <c r="J339" s="8"/>
      <c r="K339" s="65"/>
      <c r="L339" s="8"/>
      <c r="M339" s="91"/>
      <c r="N339" s="8"/>
      <c r="O339" s="8"/>
      <c r="P339" s="51"/>
      <c r="Q339" s="51"/>
      <c r="R339" s="51"/>
      <c r="S339" s="8"/>
      <c r="T339" s="8"/>
      <c r="U339" s="8"/>
      <c r="V339" s="8"/>
      <c r="W339" s="8"/>
      <c r="X339" s="8"/>
      <c r="Y339" s="8"/>
    </row>
    <row r="340" spans="2:25" ht="14.5" x14ac:dyDescent="0.35">
      <c r="B340" s="8"/>
      <c r="C340" s="8"/>
      <c r="D340" s="51"/>
      <c r="E340" s="51"/>
      <c r="F340" s="8"/>
      <c r="G340" s="8"/>
      <c r="H340" s="8"/>
      <c r="I340" s="8"/>
      <c r="J340" s="8"/>
      <c r="K340" s="65"/>
      <c r="L340" s="8"/>
      <c r="M340" s="91"/>
      <c r="N340" s="8"/>
      <c r="O340" s="8"/>
      <c r="P340" s="51"/>
      <c r="Q340" s="51"/>
      <c r="R340" s="51"/>
      <c r="S340" s="8"/>
      <c r="T340" s="8"/>
      <c r="U340" s="8"/>
      <c r="V340" s="8"/>
      <c r="W340" s="8"/>
      <c r="X340" s="8"/>
      <c r="Y340" s="8"/>
    </row>
    <row r="341" spans="2:25" ht="15.5" x14ac:dyDescent="0.35">
      <c r="B341" s="124" t="s">
        <v>73</v>
      </c>
      <c r="C341" s="8"/>
      <c r="D341" s="51"/>
      <c r="E341" s="51"/>
      <c r="F341" s="8"/>
      <c r="G341" s="8"/>
      <c r="H341" s="8"/>
      <c r="I341" s="8"/>
      <c r="J341" s="8"/>
      <c r="K341" s="65"/>
      <c r="L341" s="8"/>
      <c r="M341" s="91"/>
      <c r="N341" s="8"/>
      <c r="O341" s="8"/>
      <c r="P341" s="51"/>
      <c r="Q341" s="51"/>
      <c r="R341" s="51"/>
      <c r="S341" s="8"/>
      <c r="T341" s="8"/>
      <c r="U341" s="8"/>
      <c r="V341" s="8"/>
      <c r="W341" s="8"/>
      <c r="X341" s="8"/>
      <c r="Y341" s="8"/>
    </row>
    <row r="342" spans="2:25" ht="14.5" x14ac:dyDescent="0.35">
      <c r="B342" s="60"/>
      <c r="C342" s="49"/>
      <c r="D342" s="50"/>
      <c r="E342" s="50"/>
      <c r="F342" s="50"/>
      <c r="G342" s="50"/>
      <c r="I342" s="151"/>
      <c r="J342" s="151"/>
      <c r="K342" s="15"/>
      <c r="L342" s="150" t="str">
        <f>$G$7</f>
        <v>(Alla)</v>
      </c>
      <c r="M342" s="177" t="s">
        <v>6</v>
      </c>
      <c r="N342" s="8"/>
      <c r="O342" s="8"/>
      <c r="P342" s="51"/>
      <c r="Q342" s="51"/>
      <c r="R342" s="51"/>
      <c r="S342" s="8"/>
      <c r="T342" s="8"/>
      <c r="U342" s="8"/>
      <c r="V342" s="8"/>
      <c r="W342" s="8"/>
      <c r="X342" s="8"/>
      <c r="Y342" s="8"/>
    </row>
    <row r="343" spans="2:25" ht="14.5" x14ac:dyDescent="0.35">
      <c r="C343" s="18"/>
      <c r="D343" s="18"/>
      <c r="E343" s="18"/>
      <c r="F343" s="18"/>
      <c r="G343" s="18"/>
      <c r="H343" s="18">
        <v>2019</v>
      </c>
      <c r="I343" s="18">
        <v>2020</v>
      </c>
      <c r="J343" s="18">
        <v>2021</v>
      </c>
      <c r="K343" s="9">
        <v>2022</v>
      </c>
      <c r="L343" s="155">
        <v>2023</v>
      </c>
      <c r="M343" s="30">
        <v>2023</v>
      </c>
      <c r="N343" s="8"/>
      <c r="O343" s="8"/>
      <c r="P343" s="51"/>
      <c r="Q343" s="51"/>
      <c r="R343" s="51"/>
      <c r="S343" s="8"/>
      <c r="T343" s="8"/>
      <c r="U343" s="8"/>
      <c r="V343" s="8"/>
      <c r="W343" s="8"/>
      <c r="X343" s="8"/>
      <c r="Y343" s="8"/>
    </row>
    <row r="344" spans="2:25" ht="14.5" x14ac:dyDescent="0.35">
      <c r="B344" s="71" t="s">
        <v>46</v>
      </c>
      <c r="C344" s="72"/>
      <c r="D344" s="72"/>
      <c r="E344" s="72"/>
      <c r="F344" s="72"/>
      <c r="G344" s="72"/>
      <c r="H344" s="72">
        <f>IFERROR(IF(H$351&lt;7,,GETPIVOTDATA("Skolrestaurangen har en miljö som är trivsam att vara i ",pivot!$I$298,"År",2019,"Skolrestaurangen har en miljö som är trivsam att vara i ",1)),)</f>
        <v>0</v>
      </c>
      <c r="I344" s="72">
        <f>IFERROR(IF(I$351&lt;7,,GETPIVOTDATA("Skolrestaurangen har en miljö som är trivsam att vara i ",pivot!$I$298,"År",2020,"Skolrestaurangen har en miljö som är trivsam att vara i ",1)),)</f>
        <v>0</v>
      </c>
      <c r="J344" s="72">
        <f>IFERROR(IF(J$351&lt;7,,GETPIVOTDATA("Skolrestaurangen har en miljö som är trivsam att vara i ",pivot!$I$298,"År",2021,"Skolrestaurangen har en miljö som är trivsam att vara i ",1)),)</f>
        <v>0</v>
      </c>
      <c r="K344" s="73">
        <f>IFERROR(IF(K$351&lt;7,,GETPIVOTDATA("Skolrestaurangen har en miljö som är trivsam att vara i ",pivot!$I$298,"År",2022,"Skolrestaurangen har en miljö som är trivsam att vara i ",1)),)</f>
        <v>0</v>
      </c>
      <c r="L344" s="89">
        <f>IFERROR(IF(L$351&lt;7,,GETPIVOTDATA("Skolrestaurangen har en miljö som är trivsam att vara i ",pivot!$I$298,"År",2023,"Skolrestaurangen har en miljö som är trivsam att vara i ",1)),)</f>
        <v>0</v>
      </c>
      <c r="M344" s="72">
        <v>0</v>
      </c>
      <c r="N344" s="8"/>
      <c r="O344" s="8"/>
      <c r="P344" s="51"/>
      <c r="Q344" s="51"/>
      <c r="R344" s="51"/>
      <c r="S344" s="8"/>
      <c r="T344" s="8"/>
      <c r="U344" s="8"/>
      <c r="V344" s="8"/>
      <c r="W344" s="8"/>
      <c r="X344" s="8"/>
      <c r="Y344" s="8"/>
    </row>
    <row r="345" spans="2:25" ht="14.5" x14ac:dyDescent="0.35">
      <c r="B345" s="74">
        <v>2</v>
      </c>
      <c r="C345" s="72"/>
      <c r="D345" s="72"/>
      <c r="E345" s="72"/>
      <c r="F345" s="72"/>
      <c r="G345" s="72"/>
      <c r="H345" s="72">
        <f>IFERROR(IF(H$351&lt;7,,GETPIVOTDATA("Skolrestaurangen har en miljö som är trivsam att vara i ",pivot!$I$298,"År",2019,"Skolrestaurangen har en miljö som är trivsam att vara i ",2)),)</f>
        <v>3.7499999999999999E-2</v>
      </c>
      <c r="I345" s="72">
        <f>IFERROR(IF(I$351&lt;7,,GETPIVOTDATA("Skolrestaurangen har en miljö som är trivsam att vara i ",pivot!$I$298,"År",2020,"Skolrestaurangen har en miljö som är trivsam att vara i ",2)),)</f>
        <v>6.5934065934065936E-2</v>
      </c>
      <c r="J345" s="72">
        <f>IFERROR(IF(J$351&lt;7,,GETPIVOTDATA("Skolrestaurangen har en miljö som är trivsam att vara i ",pivot!$I$298,"År",2021,"Skolrestaurangen har en miljö som är trivsam att vara i ",2)),)</f>
        <v>2.2988505747126436E-2</v>
      </c>
      <c r="K345" s="73">
        <f>IFERROR(IF(K$351&lt;7,,GETPIVOTDATA("Skolrestaurangen har en miljö som är trivsam att vara i ",pivot!$I$298,"År",2022,"Skolrestaurangen har en miljö som är trivsam att vara i ",2)),)</f>
        <v>3.1578947368421054E-2</v>
      </c>
      <c r="L345" s="89">
        <f>IFERROR(IF(L$351&lt;7,,GETPIVOTDATA("Skolrestaurangen har en miljö som är trivsam att vara i ",pivot!$I$298,"År",2023,"Skolrestaurangen har en miljö som är trivsam att vara i ",2)),)</f>
        <v>4.878048780487805E-2</v>
      </c>
      <c r="M345" s="72">
        <v>4.878048780487805E-2</v>
      </c>
      <c r="N345" s="8"/>
      <c r="O345" s="8"/>
      <c r="P345" s="51"/>
      <c r="Q345" s="51"/>
      <c r="R345" s="51"/>
      <c r="S345" s="8"/>
      <c r="T345" s="8"/>
      <c r="U345" s="8"/>
      <c r="V345" s="8"/>
      <c r="W345" s="8"/>
      <c r="X345" s="8"/>
      <c r="Y345" s="8"/>
    </row>
    <row r="346" spans="2:25" ht="14.5" x14ac:dyDescent="0.35">
      <c r="B346" s="74">
        <v>3</v>
      </c>
      <c r="C346" s="72"/>
      <c r="D346" s="72"/>
      <c r="E346" s="72"/>
      <c r="F346" s="72"/>
      <c r="G346" s="72"/>
      <c r="H346" s="72">
        <f>IFERROR(IF(H$351&lt;7,,GETPIVOTDATA("Skolrestaurangen har en miljö som är trivsam att vara i ",pivot!$I$298,"År",2019,"Skolrestaurangen har en miljö som är trivsam att vara i ",3)),)</f>
        <v>0.27500000000000002</v>
      </c>
      <c r="I346" s="72">
        <f>IFERROR(IF(I$351&lt;7,,GETPIVOTDATA("Skolrestaurangen har en miljö som är trivsam att vara i ",pivot!$I$298,"År",2020,"Skolrestaurangen har en miljö som är trivsam att vara i ",3)),)</f>
        <v>0.30769230769230771</v>
      </c>
      <c r="J346" s="72">
        <f>IFERROR(IF(J$351&lt;7,,GETPIVOTDATA("Skolrestaurangen har en miljö som är trivsam att vara i ",pivot!$I$298,"År",2021,"Skolrestaurangen har en miljö som är trivsam att vara i ",3)),)</f>
        <v>0.27586206896551724</v>
      </c>
      <c r="K346" s="73">
        <f>IFERROR(IF(K$351&lt;7,,GETPIVOTDATA("Skolrestaurangen har en miljö som är trivsam att vara i ",pivot!$I$298,"År",2022,"Skolrestaurangen har en miljö som är trivsam att vara i ",3)),)</f>
        <v>0.26315789473684209</v>
      </c>
      <c r="L346" s="89">
        <f>IFERROR(IF(L$351&lt;7,,GETPIVOTDATA("Skolrestaurangen har en miljö som är trivsam att vara i ",pivot!$I$298,"År",2023,"Skolrestaurangen har en miljö som är trivsam att vara i ",3)),)</f>
        <v>0.32926829268292684</v>
      </c>
      <c r="M346" s="72">
        <v>0.32926829268292684</v>
      </c>
      <c r="N346" s="8"/>
      <c r="O346" s="8"/>
      <c r="P346" s="51"/>
      <c r="Q346" s="51"/>
      <c r="R346" s="51"/>
      <c r="S346" s="8"/>
      <c r="T346" s="8"/>
      <c r="U346" s="8"/>
      <c r="V346" s="8"/>
      <c r="W346" s="8"/>
      <c r="X346" s="8"/>
      <c r="Y346" s="8"/>
    </row>
    <row r="347" spans="2:25" ht="14.5" x14ac:dyDescent="0.35">
      <c r="B347" s="74" t="s">
        <v>47</v>
      </c>
      <c r="C347" s="72"/>
      <c r="D347" s="72"/>
      <c r="E347" s="72"/>
      <c r="F347" s="72"/>
      <c r="G347" s="72"/>
      <c r="H347" s="72">
        <f>IFERROR(IF(H$351&lt;7,,GETPIVOTDATA("Skolrestaurangen har en miljö som är trivsam att vara i ",pivot!$I$298,"År",2019,"Skolrestaurangen har en miljö som är trivsam att vara i ",4)),)</f>
        <v>0.66249999999999998</v>
      </c>
      <c r="I347" s="72">
        <f>IFERROR(IF(I$351&lt;7,,GETPIVOTDATA("Skolrestaurangen har en miljö som är trivsam att vara i ",pivot!$I$298,"År",2020,"Skolrestaurangen har en miljö som är trivsam att vara i ",4)),)</f>
        <v>0.5494505494505495</v>
      </c>
      <c r="J347" s="72">
        <f>IFERROR(IF(J$351&lt;7,,GETPIVOTDATA("Skolrestaurangen har en miljö som är trivsam att vara i ",pivot!$I$298,"År",2021,"Skolrestaurangen har en miljö som är trivsam att vara i ",4)),)</f>
        <v>0.60919540229885061</v>
      </c>
      <c r="K347" s="73">
        <f>IFERROR(IF(K$351&lt;7,,GETPIVOTDATA("Skolrestaurangen har en miljö som är trivsam att vara i ",pivot!$I$298,"År",2022,"Skolrestaurangen har en miljö som är trivsam att vara i ",4)),)</f>
        <v>0.54736842105263162</v>
      </c>
      <c r="L347" s="89">
        <f>IFERROR(IF(L$351&lt;7,,GETPIVOTDATA("Skolrestaurangen har en miljö som är trivsam att vara i ",pivot!$I$298,"År",2023,"Skolrestaurangen har en miljö som är trivsam att vara i ",4)),)</f>
        <v>0.48780487804878048</v>
      </c>
      <c r="M347" s="72">
        <v>0.48780487804878048</v>
      </c>
      <c r="N347" s="8"/>
      <c r="O347" s="8"/>
      <c r="P347" s="51"/>
      <c r="Q347" s="51"/>
      <c r="R347" s="51"/>
      <c r="S347" s="8"/>
      <c r="T347" s="8"/>
      <c r="U347" s="8"/>
      <c r="V347" s="8"/>
      <c r="W347" s="8"/>
      <c r="X347" s="8"/>
      <c r="Y347" s="8"/>
    </row>
    <row r="348" spans="2:25" ht="14.5" x14ac:dyDescent="0.35">
      <c r="B348" s="74" t="s">
        <v>2</v>
      </c>
      <c r="C348" s="72"/>
      <c r="D348" s="72"/>
      <c r="E348" s="72"/>
      <c r="F348" s="72"/>
      <c r="G348" s="72"/>
      <c r="H348" s="72">
        <f>IFERROR(IF(H$351&lt;7,,GETPIVOTDATA("Skolrestaurangen har en miljö som är trivsam att vara i ",pivot!$I$298,"År",2019,"Skolrestaurangen har en miljö som är trivsam att vara i ",5)),)</f>
        <v>2.5000000000000001E-2</v>
      </c>
      <c r="I348" s="72">
        <f>IFERROR(IF(I$351&lt;7,,GETPIVOTDATA("Skolrestaurangen har en miljö som är trivsam att vara i ",pivot!$I$298,"År",2020,"Skolrestaurangen har en miljö som är trivsam att vara i ",5)),)</f>
        <v>7.6923076923076927E-2</v>
      </c>
      <c r="J348" s="72">
        <f>IFERROR(IF(J$351&lt;7,,GETPIVOTDATA("Skolrestaurangen har en miljö som är trivsam att vara i ",pivot!$I$298,"År",2021,"Skolrestaurangen har en miljö som är trivsam att vara i ",5)),)</f>
        <v>9.1954022988505746E-2</v>
      </c>
      <c r="K348" s="73">
        <f>IFERROR(IF(K$351&lt;7,,GETPIVOTDATA("Skolrestaurangen har en miljö som är trivsam att vara i ",pivot!$I$298,"År",2022,"Skolrestaurangen har en miljö som är trivsam att vara i ",5)),)</f>
        <v>0.15789473684210525</v>
      </c>
      <c r="L348" s="89">
        <f>IFERROR(IF(L$351&lt;7,,GETPIVOTDATA("Skolrestaurangen har en miljö som är trivsam att vara i ",pivot!$I$298,"År",2023,"Skolrestaurangen har en miljö som är trivsam att vara i ",5)),)</f>
        <v>0.13414634146341464</v>
      </c>
      <c r="M348" s="72">
        <v>0.13414634146341464</v>
      </c>
      <c r="N348" s="8"/>
      <c r="O348" s="8"/>
      <c r="P348" s="51"/>
      <c r="Q348" s="51"/>
      <c r="R348" s="51"/>
      <c r="S348" s="8"/>
      <c r="T348" s="8"/>
      <c r="U348" s="8"/>
      <c r="V348" s="8"/>
      <c r="W348" s="8"/>
      <c r="X348" s="8"/>
      <c r="Y348" s="8"/>
    </row>
    <row r="349" spans="2:25" ht="14.5" x14ac:dyDescent="0.35">
      <c r="B349" s="71" t="s">
        <v>6</v>
      </c>
      <c r="C349" s="72"/>
      <c r="D349" s="72"/>
      <c r="E349" s="72"/>
      <c r="F349" s="72"/>
      <c r="G349" s="72"/>
      <c r="H349" s="72">
        <f>IFERROR(SUM(H344:H348),"-")</f>
        <v>1</v>
      </c>
      <c r="I349" s="72">
        <f>IFERROR(SUM(I344:I348),"-")</f>
        <v>1</v>
      </c>
      <c r="J349" s="72">
        <f>IFERROR(SUM(J344:J348),"-")</f>
        <v>1</v>
      </c>
      <c r="K349" s="73">
        <f>IFERROR(SUM(K344:K348),"-")</f>
        <v>1</v>
      </c>
      <c r="L349" s="89">
        <f>IFERROR(SUM(L344:L348),"-")</f>
        <v>1</v>
      </c>
      <c r="M349" s="72">
        <v>1</v>
      </c>
      <c r="N349" s="8"/>
      <c r="O349" s="8"/>
      <c r="P349" s="51"/>
      <c r="Q349" s="51"/>
      <c r="R349" s="51"/>
      <c r="S349" s="8"/>
      <c r="T349" s="8"/>
      <c r="U349" s="8"/>
      <c r="V349" s="8"/>
      <c r="W349" s="8"/>
      <c r="X349" s="8"/>
      <c r="Y349" s="8"/>
    </row>
    <row r="350" spans="2:25" ht="14.5" x14ac:dyDescent="0.35">
      <c r="B350" s="106" t="s">
        <v>7</v>
      </c>
      <c r="C350" s="107"/>
      <c r="D350" s="107"/>
      <c r="E350" s="107"/>
      <c r="F350" s="107"/>
      <c r="G350" s="107"/>
      <c r="H350" s="107">
        <f>IFERROR(IF(H$351&lt;7,,((GETPIVOTDATA("Skolrestaurangen har en miljö som är trivsam att vara i ",pivot!$P$298,"År",2019)))),)</f>
        <v>3.641025641025641</v>
      </c>
      <c r="I350" s="107">
        <f>IFERROR(IF(I$351&lt;7,,((GETPIVOTDATA("Skolrestaurangen har en miljö som är trivsam att vara i ",pivot!$P$298,"År",2020)))),)</f>
        <v>3.4367816091954024</v>
      </c>
      <c r="J350" s="107">
        <f>IFERROR(IF(J$351&lt;7,,((GETPIVOTDATA("Skolrestaurangen har en miljö som är trivsam att vara i ",pivot!$P$298,"År",2021)))),)</f>
        <v>3.4302325581395348</v>
      </c>
      <c r="K350" s="172">
        <f>IFERROR(IF(K$351&lt;7,,((GETPIVOTDATA("Skolrestaurangen har en miljö som är trivsam att vara i ",pivot!$P$298,"År",2022)))),)</f>
        <v>3.4880952380952381</v>
      </c>
      <c r="L350" s="162">
        <f>IFERROR(IF(L$351&lt;7,,((GETPIVOTDATA("Skolrestaurangen har en miljö som är trivsam att vara i ",pivot!$P$298,"År",2023)))),)</f>
        <v>3.4054054054054053</v>
      </c>
      <c r="M350" s="107">
        <v>3.4054054054054053</v>
      </c>
      <c r="N350" s="8"/>
      <c r="O350" s="8"/>
      <c r="P350" s="51"/>
      <c r="Q350" s="51"/>
      <c r="R350" s="51"/>
      <c r="S350" s="8"/>
      <c r="T350" s="8"/>
      <c r="U350" s="8"/>
      <c r="V350" s="8"/>
      <c r="W350" s="8"/>
      <c r="X350" s="8"/>
      <c r="Y350" s="8"/>
    </row>
    <row r="351" spans="2:25" ht="14.5" x14ac:dyDescent="0.35">
      <c r="B351" s="71" t="s">
        <v>8</v>
      </c>
      <c r="C351" s="75"/>
      <c r="D351" s="75"/>
      <c r="E351" s="75"/>
      <c r="F351" s="75"/>
      <c r="G351" s="75"/>
      <c r="H351" s="80">
        <f>IFERROR(GETPIVOTDATA("Skolrestaurangen har en miljö som är trivsam att vara i ",pivot!$A$298,"År",2019),)</f>
        <v>80</v>
      </c>
      <c r="I351" s="80">
        <f>IFERROR(GETPIVOTDATA("Skolrestaurangen har en miljö som är trivsam att vara i ",pivot!$A$298,"År",2020),)</f>
        <v>94</v>
      </c>
      <c r="J351" s="80">
        <f>IFERROR(GETPIVOTDATA("Skolrestaurangen har en miljö som är trivsam att vara i ",pivot!$A$298,"År",2021),)</f>
        <v>94</v>
      </c>
      <c r="K351" s="76">
        <f>IFERROR(GETPIVOTDATA("Skolrestaurangen har en miljö som är trivsam att vara i ",pivot!$A$298,"År",2022),)</f>
        <v>99</v>
      </c>
      <c r="L351" s="158">
        <f>IFERROR(GETPIVOTDATA("Skolrestaurangen har en miljö som är trivsam att vara i ",pivot!$A$298,"År",2023),)</f>
        <v>85</v>
      </c>
      <c r="M351" s="80">
        <v>85</v>
      </c>
      <c r="N351" s="8"/>
      <c r="O351" s="8"/>
      <c r="P351" s="51"/>
      <c r="Q351" s="51"/>
      <c r="R351" s="51"/>
      <c r="S351" s="8"/>
      <c r="T351" s="8"/>
      <c r="U351" s="8"/>
      <c r="V351" s="8"/>
      <c r="W351" s="8"/>
      <c r="X351" s="8"/>
      <c r="Y351" s="8"/>
    </row>
    <row r="352" spans="2:25" ht="14.5" x14ac:dyDescent="0.35">
      <c r="B352" s="8"/>
      <c r="C352" s="8"/>
      <c r="D352" s="51"/>
      <c r="E352" s="51"/>
      <c r="F352" s="8"/>
      <c r="G352" s="8"/>
      <c r="H352" s="8"/>
      <c r="I352" s="8"/>
      <c r="J352" s="8"/>
      <c r="K352" s="65"/>
      <c r="L352" s="8"/>
      <c r="M352" s="91"/>
      <c r="N352" s="8"/>
      <c r="O352" s="8"/>
      <c r="P352" s="51"/>
      <c r="Q352" s="51"/>
      <c r="R352" s="51"/>
      <c r="S352" s="8"/>
      <c r="T352" s="8"/>
      <c r="U352" s="8"/>
      <c r="V352" s="8"/>
      <c r="W352" s="8"/>
      <c r="X352" s="8"/>
      <c r="Y352" s="8"/>
    </row>
    <row r="353" spans="2:25" ht="14.5" x14ac:dyDescent="0.35">
      <c r="B353" s="8"/>
      <c r="C353" s="8"/>
      <c r="D353" s="51"/>
      <c r="E353" s="51"/>
      <c r="F353" s="8"/>
      <c r="G353" s="8"/>
      <c r="H353" s="8"/>
      <c r="I353" s="8"/>
      <c r="J353" s="8"/>
      <c r="K353" s="65"/>
      <c r="L353" s="8"/>
      <c r="M353" s="91"/>
      <c r="N353" s="8"/>
      <c r="O353" s="8"/>
      <c r="P353" s="51"/>
      <c r="Q353" s="51"/>
      <c r="R353" s="51"/>
      <c r="S353" s="8"/>
      <c r="T353" s="8"/>
      <c r="U353" s="8"/>
      <c r="V353" s="8"/>
      <c r="W353" s="8"/>
      <c r="X353" s="8"/>
      <c r="Y353" s="8"/>
    </row>
    <row r="354" spans="2:25" ht="15.5" x14ac:dyDescent="0.35">
      <c r="B354" s="124" t="s">
        <v>74</v>
      </c>
      <c r="C354" s="8"/>
      <c r="D354" s="51"/>
      <c r="E354" s="51"/>
      <c r="F354" s="8"/>
      <c r="G354" s="8"/>
      <c r="H354" s="8"/>
      <c r="I354" s="8"/>
      <c r="J354" s="65"/>
      <c r="K354" s="65"/>
      <c r="L354" s="65"/>
      <c r="M354" s="91"/>
      <c r="N354" s="8"/>
      <c r="O354" s="8"/>
      <c r="P354" s="51"/>
      <c r="Q354" s="51"/>
      <c r="R354" s="51"/>
      <c r="S354" s="8"/>
      <c r="T354" s="8"/>
      <c r="U354" s="8"/>
      <c r="V354" s="8"/>
      <c r="W354" s="8"/>
      <c r="X354" s="8"/>
      <c r="Y354" s="8"/>
    </row>
    <row r="355" spans="2:25" ht="14.5" x14ac:dyDescent="0.35">
      <c r="B355" s="60"/>
      <c r="C355" s="49"/>
      <c r="D355" s="50"/>
      <c r="E355" s="50"/>
      <c r="F355" s="50"/>
      <c r="G355" s="50"/>
      <c r="I355" s="151"/>
      <c r="J355" s="151"/>
      <c r="K355" s="15"/>
      <c r="L355" s="150" t="str">
        <f>$G$7</f>
        <v>(Alla)</v>
      </c>
      <c r="M355" s="177" t="s">
        <v>6</v>
      </c>
      <c r="N355" s="8"/>
      <c r="O355" s="8"/>
      <c r="P355" s="51"/>
      <c r="Q355" s="51"/>
      <c r="R355" s="51"/>
      <c r="S355" s="8"/>
      <c r="T355" s="8"/>
      <c r="U355" s="8"/>
      <c r="V355" s="8"/>
      <c r="W355" s="8"/>
      <c r="X355" s="8"/>
      <c r="Y355" s="8"/>
    </row>
    <row r="356" spans="2:25" ht="14.5" x14ac:dyDescent="0.35">
      <c r="C356" s="18"/>
      <c r="D356" s="18"/>
      <c r="E356" s="18"/>
      <c r="F356" s="18"/>
      <c r="G356" s="18"/>
      <c r="H356" s="18">
        <v>2019</v>
      </c>
      <c r="I356" s="18">
        <v>2020</v>
      </c>
      <c r="J356" s="18">
        <v>2021</v>
      </c>
      <c r="K356" s="9">
        <v>2022</v>
      </c>
      <c r="L356" s="155">
        <v>2023</v>
      </c>
      <c r="M356" s="30">
        <v>2023</v>
      </c>
      <c r="N356" s="8"/>
      <c r="O356" s="8"/>
      <c r="P356" s="51"/>
      <c r="Q356" s="51"/>
      <c r="R356" s="51"/>
      <c r="S356" s="8"/>
      <c r="T356" s="8"/>
      <c r="U356" s="8"/>
      <c r="V356" s="8"/>
      <c r="W356" s="8"/>
      <c r="X356" s="8"/>
      <c r="Y356" s="8"/>
    </row>
    <row r="357" spans="2:25" ht="14.5" x14ac:dyDescent="0.35">
      <c r="B357" s="71" t="s">
        <v>46</v>
      </c>
      <c r="C357" s="72"/>
      <c r="D357" s="72"/>
      <c r="E357" s="72"/>
      <c r="F357" s="72"/>
      <c r="G357" s="72"/>
      <c r="H357" s="72">
        <f>IFERROR(IF(H$364&lt;7,,((GETPIVOTDATA("De som jobbar i skolrestaurangen är trevliga och serviceinriktade",pivot!$I$309,"År",2019,"De som jobbar i skolrestaurangen är trevliga och serviceinriktade",1)))),)</f>
        <v>0.05</v>
      </c>
      <c r="I357" s="72">
        <f>IFERROR(IF(I$364&lt;7,,((GETPIVOTDATA("De som jobbar i skolrestaurangen är trevliga och serviceinriktade",pivot!$I$309,"År",2020,"De som jobbar i skolrestaurangen är trevliga och serviceinriktade",1)))),)</f>
        <v>0</v>
      </c>
      <c r="J357" s="72">
        <f>IFERROR(IF(J$364&lt;7,,((GETPIVOTDATA("De som jobbar i skolrestaurangen är trevliga och serviceinriktade",pivot!$I$309,"År",2021,"De som jobbar i skolrestaurangen är trevliga och serviceinriktade",1)))),)</f>
        <v>3.2258064516129031E-2</v>
      </c>
      <c r="K357" s="73">
        <f>IFERROR(IF(K$364&lt;7,,((GETPIVOTDATA("De som jobbar i skolrestaurangen är trevliga och serviceinriktade",pivot!$I$309,"År",2022,"De som jobbar i skolrestaurangen är trevliga och serviceinriktade",1)))),)</f>
        <v>3.0927835051546393E-2</v>
      </c>
      <c r="L357" s="89">
        <f>IFERROR(IF(L$364&lt;7,,((GETPIVOTDATA("De som jobbar i skolrestaurangen är trevliga och serviceinriktade",pivot!$I$309,"År",2023,"De som jobbar i skolrestaurangen är trevliga och serviceinriktade",1)))),)</f>
        <v>2.2988505747126436E-2</v>
      </c>
      <c r="M357" s="72">
        <v>2.2988505747126436E-2</v>
      </c>
      <c r="N357" s="8"/>
      <c r="O357" s="8"/>
      <c r="P357" s="51"/>
      <c r="Q357" s="51"/>
      <c r="R357" s="51"/>
      <c r="S357" s="8"/>
      <c r="T357" s="8"/>
      <c r="U357" s="8"/>
      <c r="V357" s="8"/>
      <c r="W357" s="8"/>
      <c r="X357" s="8"/>
      <c r="Y357" s="8"/>
    </row>
    <row r="358" spans="2:25" ht="14.5" x14ac:dyDescent="0.35">
      <c r="B358" s="74">
        <v>2</v>
      </c>
      <c r="C358" s="72"/>
      <c r="D358" s="72"/>
      <c r="E358" s="72"/>
      <c r="F358" s="72"/>
      <c r="G358" s="72"/>
      <c r="H358" s="72">
        <f>IFERROR(IF(H$364&lt;7,,((GETPIVOTDATA("De som jobbar i skolrestaurangen är trevliga och serviceinriktade",pivot!$I$309,"År",2019,"De som jobbar i skolrestaurangen är trevliga och serviceinriktade",2)))),)</f>
        <v>0.15</v>
      </c>
      <c r="I358" s="72">
        <f>IFERROR(IF(I$364&lt;7,,((GETPIVOTDATA("De som jobbar i skolrestaurangen är trevliga och serviceinriktade",pivot!$I$309,"År",2020,"De som jobbar i skolrestaurangen är trevliga och serviceinriktade",2)))),)</f>
        <v>2.1052631578947368E-2</v>
      </c>
      <c r="J358" s="72">
        <f>IFERROR(IF(J$364&lt;7,,((GETPIVOTDATA("De som jobbar i skolrestaurangen är trevliga och serviceinriktade",pivot!$I$309,"År",2021,"De som jobbar i skolrestaurangen är trevliga och serviceinriktade",2)))),)</f>
        <v>1.0752688172043012E-2</v>
      </c>
      <c r="K358" s="73">
        <f>IFERROR(IF(K$364&lt;7,,((GETPIVOTDATA("De som jobbar i skolrestaurangen är trevliga och serviceinriktade",pivot!$I$309,"År",2022,"De som jobbar i skolrestaurangen är trevliga och serviceinriktade",2)))),)</f>
        <v>3.0927835051546393E-2</v>
      </c>
      <c r="L358" s="89">
        <f>IFERROR(IF(L$364&lt;7,,((GETPIVOTDATA("De som jobbar i skolrestaurangen är trevliga och serviceinriktade",pivot!$I$309,"År",2023,"De som jobbar i skolrestaurangen är trevliga och serviceinriktade",2)))),)</f>
        <v>2.2988505747126436E-2</v>
      </c>
      <c r="M358" s="72">
        <v>2.2988505747126436E-2</v>
      </c>
      <c r="N358" s="8"/>
      <c r="O358" s="8"/>
      <c r="P358" s="51"/>
      <c r="Q358" s="51"/>
      <c r="R358" s="51"/>
      <c r="S358" s="8"/>
      <c r="T358" s="8"/>
      <c r="U358" s="8"/>
      <c r="V358" s="8"/>
      <c r="W358" s="8"/>
      <c r="X358" s="8"/>
      <c r="Y358" s="8"/>
    </row>
    <row r="359" spans="2:25" ht="14.5" x14ac:dyDescent="0.35">
      <c r="B359" s="74">
        <v>3</v>
      </c>
      <c r="C359" s="72"/>
      <c r="D359" s="72"/>
      <c r="E359" s="72"/>
      <c r="F359" s="72"/>
      <c r="G359" s="72"/>
      <c r="H359" s="72">
        <f>IFERROR(IF(H$364&lt;7,,((GETPIVOTDATA("De som jobbar i skolrestaurangen är trevliga och serviceinriktade",pivot!$I$309,"År",2019,"De som jobbar i skolrestaurangen är trevliga och serviceinriktade",3)))),)</f>
        <v>0.3</v>
      </c>
      <c r="I359" s="72">
        <f>IFERROR(IF(I$364&lt;7,,((GETPIVOTDATA("De som jobbar i skolrestaurangen är trevliga och serviceinriktade",pivot!$I$309,"År",2020,"De som jobbar i skolrestaurangen är trevliga och serviceinriktade",3)))),)</f>
        <v>0.18947368421052632</v>
      </c>
      <c r="J359" s="72">
        <f>IFERROR(IF(J$364&lt;7,,((GETPIVOTDATA("De som jobbar i skolrestaurangen är trevliga och serviceinriktade",pivot!$I$309,"År",2021,"De som jobbar i skolrestaurangen är trevliga och serviceinriktade",3)))),)</f>
        <v>0.20430107526881722</v>
      </c>
      <c r="K359" s="73">
        <f>IFERROR(IF(K$364&lt;7,,((GETPIVOTDATA("De som jobbar i skolrestaurangen är trevliga och serviceinriktade",pivot!$I$309,"År",2022,"De som jobbar i skolrestaurangen är trevliga och serviceinriktade",3)))),)</f>
        <v>0.17525773195876287</v>
      </c>
      <c r="L359" s="89">
        <f>IFERROR(IF(L$364&lt;7,,((GETPIVOTDATA("De som jobbar i skolrestaurangen är trevliga och serviceinriktade",pivot!$I$309,"År",2023,"De som jobbar i skolrestaurangen är trevliga och serviceinriktade",3)))),)</f>
        <v>0.20689655172413793</v>
      </c>
      <c r="M359" s="72">
        <v>0.20689655172413793</v>
      </c>
      <c r="N359" s="8"/>
      <c r="O359" s="8"/>
      <c r="P359" s="51"/>
      <c r="Q359" s="51"/>
      <c r="R359" s="51"/>
      <c r="S359" s="8"/>
      <c r="T359" s="8"/>
      <c r="U359" s="8"/>
      <c r="V359" s="8"/>
      <c r="W359" s="8"/>
      <c r="X359" s="8"/>
      <c r="Y359" s="8"/>
    </row>
    <row r="360" spans="2:25" ht="14.5" x14ac:dyDescent="0.35">
      <c r="B360" s="74" t="s">
        <v>47</v>
      </c>
      <c r="C360" s="72"/>
      <c r="D360" s="72"/>
      <c r="E360" s="72"/>
      <c r="F360" s="72"/>
      <c r="G360" s="72"/>
      <c r="H360" s="72">
        <f>IFERROR(IF(H$364&lt;7,,((GETPIVOTDATA("De som jobbar i skolrestaurangen är trevliga och serviceinriktade",pivot!$I$309,"År",2019,"De som jobbar i skolrestaurangen är trevliga och serviceinriktade",4)))),)</f>
        <v>0.46250000000000002</v>
      </c>
      <c r="I360" s="72">
        <f>IFERROR(IF(I$364&lt;7,,((GETPIVOTDATA("De som jobbar i skolrestaurangen är trevliga och serviceinriktade",pivot!$I$309,"År",2020,"De som jobbar i skolrestaurangen är trevliga och serviceinriktade",4)))),)</f>
        <v>0.68421052631578949</v>
      </c>
      <c r="J360" s="72">
        <f>IFERROR(IF(J$364&lt;7,,((GETPIVOTDATA("De som jobbar i skolrestaurangen är trevliga och serviceinriktade",pivot!$I$309,"År",2021,"De som jobbar i skolrestaurangen är trevliga och serviceinriktade",4)))),)</f>
        <v>0.61290322580645162</v>
      </c>
      <c r="K360" s="73">
        <f>IFERROR(IF(K$364&lt;7,,((GETPIVOTDATA("De som jobbar i skolrestaurangen är trevliga och serviceinriktade",pivot!$I$309,"År",2022,"De som jobbar i skolrestaurangen är trevliga och serviceinriktade",4)))),)</f>
        <v>0.62886597938144329</v>
      </c>
      <c r="L360" s="89">
        <f>IFERROR(IF(L$364&lt;7,,((GETPIVOTDATA("De som jobbar i skolrestaurangen är trevliga och serviceinriktade",pivot!$I$309,"År",2023,"De som jobbar i skolrestaurangen är trevliga och serviceinriktade",4)))),)</f>
        <v>0.51724137931034486</v>
      </c>
      <c r="M360" s="72">
        <v>0.51724137931034486</v>
      </c>
      <c r="N360" s="8"/>
      <c r="O360" s="8"/>
      <c r="P360" s="51"/>
      <c r="Q360" s="51"/>
      <c r="R360" s="51"/>
      <c r="S360" s="8"/>
      <c r="T360" s="8"/>
      <c r="U360" s="8"/>
      <c r="V360" s="8"/>
      <c r="W360" s="8"/>
      <c r="X360" s="8"/>
      <c r="Y360" s="8"/>
    </row>
    <row r="361" spans="2:25" ht="14.5" x14ac:dyDescent="0.35">
      <c r="B361" s="74" t="s">
        <v>2</v>
      </c>
      <c r="C361" s="72"/>
      <c r="D361" s="72"/>
      <c r="E361" s="72"/>
      <c r="F361" s="72"/>
      <c r="G361" s="72"/>
      <c r="H361" s="72">
        <f>IFERROR(IF(H$364&lt;7,,((GETPIVOTDATA("De som jobbar i skolrestaurangen är trevliga och serviceinriktade",pivot!$I$309,"År",2019,"De som jobbar i skolrestaurangen är trevliga och serviceinriktade",5)))),)</f>
        <v>3.7499999999999999E-2</v>
      </c>
      <c r="I361" s="72">
        <f>IFERROR(IF(I$364&lt;7,,((GETPIVOTDATA("De som jobbar i skolrestaurangen är trevliga och serviceinriktade",pivot!$I$309,"År",2020,"De som jobbar i skolrestaurangen är trevliga och serviceinriktade",5)))),)</f>
        <v>0.10526315789473684</v>
      </c>
      <c r="J361" s="72">
        <f>IFERROR(IF(J$364&lt;7,,((GETPIVOTDATA("De som jobbar i skolrestaurangen är trevliga och serviceinriktade",pivot!$I$309,"År",2021,"De som jobbar i skolrestaurangen är trevliga och serviceinriktade",5)))),)</f>
        <v>0.13978494623655913</v>
      </c>
      <c r="K361" s="73">
        <f>IFERROR(IF(K$364&lt;7,,((GETPIVOTDATA("De som jobbar i skolrestaurangen är trevliga och serviceinriktade",pivot!$I$309,"År",2022,"De som jobbar i skolrestaurangen är trevliga och serviceinriktade",5)))),)</f>
        <v>0.13402061855670103</v>
      </c>
      <c r="L361" s="89">
        <f>IFERROR(IF(L$364&lt;7,,((GETPIVOTDATA("De som jobbar i skolrestaurangen är trevliga och serviceinriktade",pivot!$I$309,"År",2023,"De som jobbar i skolrestaurangen är trevliga och serviceinriktade",5)))),)</f>
        <v>0.22988505747126436</v>
      </c>
      <c r="M361" s="72">
        <v>0.22988505747126436</v>
      </c>
      <c r="N361" s="8"/>
      <c r="O361" s="8"/>
      <c r="P361" s="51"/>
      <c r="Q361" s="51"/>
      <c r="R361" s="51"/>
      <c r="S361" s="8"/>
      <c r="T361" s="8"/>
      <c r="U361" s="8"/>
      <c r="V361" s="8"/>
      <c r="W361" s="8"/>
      <c r="X361" s="8"/>
      <c r="Y361" s="8"/>
    </row>
    <row r="362" spans="2:25" ht="14.5" x14ac:dyDescent="0.35">
      <c r="B362" s="71" t="s">
        <v>6</v>
      </c>
      <c r="C362" s="72"/>
      <c r="D362" s="72"/>
      <c r="E362" s="72"/>
      <c r="F362" s="72"/>
      <c r="G362" s="72"/>
      <c r="H362" s="72">
        <f>IFERROR(SUM(H357:H361),"-")</f>
        <v>1</v>
      </c>
      <c r="I362" s="72">
        <f>IFERROR(SUM(I357:I361),"-")</f>
        <v>1</v>
      </c>
      <c r="J362" s="72">
        <f>IFERROR(SUM(J357:J361),"-")</f>
        <v>1</v>
      </c>
      <c r="K362" s="73">
        <f>IFERROR(SUM(K357:K361),"-")</f>
        <v>1</v>
      </c>
      <c r="L362" s="89">
        <f>IFERROR(SUM(L357:L361),"-")</f>
        <v>1</v>
      </c>
      <c r="M362" s="72">
        <v>1</v>
      </c>
      <c r="N362" s="8"/>
      <c r="O362" s="8"/>
      <c r="P362" s="51"/>
      <c r="Q362" s="51"/>
      <c r="R362" s="51"/>
      <c r="S362" s="8"/>
      <c r="T362" s="8"/>
      <c r="U362" s="8"/>
      <c r="V362" s="8"/>
      <c r="W362" s="8"/>
      <c r="X362" s="8"/>
      <c r="Y362" s="8"/>
    </row>
    <row r="363" spans="2:25" ht="14.5" x14ac:dyDescent="0.35">
      <c r="B363" s="106" t="s">
        <v>7</v>
      </c>
      <c r="C363" s="107"/>
      <c r="D363" s="107"/>
      <c r="E363" s="107"/>
      <c r="F363" s="107"/>
      <c r="G363" s="107"/>
      <c r="H363" s="107">
        <f>IFERROR(IF(H$364&lt;7,,((GETPIVOTDATA("De som jobbar i skolrestaurangen är trevliga och serviceinriktade",pivot!$P$309,"År",2019)))),)</f>
        <v>3.220779220779221</v>
      </c>
      <c r="I363" s="107">
        <f>IFERROR(IF(I$364&lt;7,,((GETPIVOTDATA("De som jobbar i skolrestaurangen är trevliga och serviceinriktade",pivot!$P$309,"År",2020)))),)</f>
        <v>3.7411764705882353</v>
      </c>
      <c r="J363" s="107">
        <f>IFERROR(IF(J$364&lt;7,,((GETPIVOTDATA("De som jobbar i skolrestaurangen är trevliga och serviceinriktade",pivot!$P$309,"År",2021)))),)</f>
        <v>3.625</v>
      </c>
      <c r="K363" s="172">
        <f>IFERROR(IF(K$364&lt;7,,((GETPIVOTDATA("De som jobbar i skolrestaurangen är trevliga och serviceinriktade",pivot!$P$309,"År",2022)))),)</f>
        <v>3.6190476190476191</v>
      </c>
      <c r="L363" s="162">
        <f>IFERROR(IF(L$364&lt;7,,((GETPIVOTDATA("De som jobbar i skolrestaurangen är trevliga och serviceinriktade",pivot!$P$309,"År",2023)))),)</f>
        <v>3.5820895522388061</v>
      </c>
      <c r="M363" s="107">
        <v>3.5820895522388061</v>
      </c>
      <c r="N363" s="8"/>
      <c r="O363" s="8"/>
      <c r="P363" s="51"/>
      <c r="Q363" s="51"/>
      <c r="R363" s="51"/>
      <c r="S363" s="8"/>
      <c r="T363" s="8"/>
      <c r="U363" s="8"/>
      <c r="V363" s="8"/>
      <c r="W363" s="8"/>
      <c r="X363" s="8"/>
      <c r="Y363" s="8"/>
    </row>
    <row r="364" spans="2:25" ht="15.75" customHeight="1" x14ac:dyDescent="0.35">
      <c r="B364" s="71" t="s">
        <v>8</v>
      </c>
      <c r="C364" s="75"/>
      <c r="D364" s="75"/>
      <c r="E364" s="75"/>
      <c r="F364" s="75"/>
      <c r="G364" s="75"/>
      <c r="H364" s="80">
        <f>IFERROR(GETPIVOTDATA("De som jobbar i skolrestaurangen är trevliga och serviceinriktade",pivot!$A$309,"År",2019),)</f>
        <v>80</v>
      </c>
      <c r="I364" s="80">
        <f>IFERROR(GETPIVOTDATA("De som jobbar i skolrestaurangen är trevliga och serviceinriktade",pivot!$A$309,"År",2020),)</f>
        <v>95</v>
      </c>
      <c r="J364" s="80">
        <f>IFERROR(GETPIVOTDATA("De som jobbar i skolrestaurangen är trevliga och serviceinriktade",pivot!$A$309,"År",2021),)</f>
        <v>93</v>
      </c>
      <c r="K364" s="76">
        <f>IFERROR(GETPIVOTDATA("De som jobbar i skolrestaurangen är trevliga och serviceinriktade",pivot!$A$309,"År",2022),)</f>
        <v>97</v>
      </c>
      <c r="L364" s="158">
        <f>IFERROR(GETPIVOTDATA("De som jobbar i skolrestaurangen är trevliga och serviceinriktade",pivot!$A$309,"År",2023),)</f>
        <v>87</v>
      </c>
      <c r="M364" s="80">
        <v>87</v>
      </c>
      <c r="N364" s="8"/>
      <c r="O364" s="8"/>
      <c r="P364" s="51"/>
      <c r="Q364" s="51"/>
      <c r="R364" s="51"/>
      <c r="S364" s="8"/>
      <c r="T364" s="8"/>
      <c r="U364" s="8"/>
      <c r="V364" s="8"/>
      <c r="W364" s="8"/>
      <c r="X364" s="8"/>
      <c r="Y364" s="8"/>
    </row>
    <row r="365" spans="2:25" ht="23.25" customHeight="1" x14ac:dyDescent="0.35">
      <c r="B365" s="8"/>
      <c r="C365" s="8"/>
      <c r="D365" s="51"/>
      <c r="E365" s="51"/>
      <c r="F365" s="8"/>
      <c r="G365" s="8"/>
      <c r="H365" s="8"/>
      <c r="I365" s="8"/>
      <c r="J365" s="8"/>
      <c r="K365" s="8"/>
      <c r="L365" s="8"/>
      <c r="M365" s="91"/>
      <c r="N365" s="8"/>
      <c r="O365" s="8"/>
      <c r="P365" s="51"/>
      <c r="Q365" s="51"/>
      <c r="R365" s="51"/>
      <c r="S365" s="8"/>
      <c r="T365" s="8"/>
      <c r="U365" s="8"/>
      <c r="V365" s="8"/>
      <c r="W365" s="8"/>
      <c r="X365" s="8"/>
      <c r="Y365" s="8"/>
    </row>
    <row r="366" spans="2:25" ht="14.5" hidden="1" x14ac:dyDescent="0.35">
      <c r="B366" s="8"/>
      <c r="C366" s="49"/>
      <c r="D366" s="50"/>
      <c r="E366" s="50"/>
      <c r="F366" s="50"/>
      <c r="G366" s="50"/>
      <c r="H366" s="50"/>
      <c r="I366" s="50"/>
      <c r="J366" s="50"/>
      <c r="K366" s="50"/>
      <c r="L366" s="50"/>
      <c r="M366" s="18"/>
      <c r="N366" s="8"/>
      <c r="O366" s="8"/>
      <c r="P366" s="51"/>
      <c r="Q366" s="51"/>
      <c r="R366" s="51"/>
      <c r="S366" s="8"/>
      <c r="T366" s="8"/>
      <c r="U366" s="8"/>
      <c r="V366" s="8"/>
      <c r="W366" s="8"/>
      <c r="X366" s="8"/>
      <c r="Y366" s="8"/>
    </row>
    <row r="367" spans="2:25" ht="14.5" hidden="1" x14ac:dyDescent="0.35">
      <c r="B367" s="8"/>
      <c r="C367" s="8"/>
      <c r="D367" s="8"/>
      <c r="E367" s="8"/>
      <c r="F367" s="8"/>
      <c r="G367" s="8"/>
      <c r="H367" s="8"/>
      <c r="I367" s="8"/>
      <c r="J367" s="8"/>
      <c r="K367" s="8"/>
      <c r="L367" s="8"/>
      <c r="M367" s="91"/>
      <c r="N367" s="8"/>
      <c r="O367" s="8"/>
      <c r="P367" s="51"/>
      <c r="Q367" s="51"/>
      <c r="R367" s="51"/>
      <c r="S367" s="8"/>
      <c r="T367" s="8"/>
      <c r="U367" s="8"/>
      <c r="V367" s="8"/>
      <c r="W367" s="8"/>
      <c r="X367" s="8"/>
      <c r="Y367" s="8"/>
    </row>
    <row r="368" spans="2:25" ht="14.5" hidden="1" x14ac:dyDescent="0.35">
      <c r="B368" s="8"/>
      <c r="C368" s="8"/>
      <c r="D368" s="8"/>
      <c r="E368" s="8"/>
      <c r="F368" s="8"/>
      <c r="G368" s="8"/>
      <c r="H368" s="8"/>
      <c r="I368" s="8"/>
      <c r="J368" s="8"/>
      <c r="K368" s="8"/>
      <c r="L368" s="8"/>
      <c r="M368" s="91"/>
      <c r="N368" s="8"/>
      <c r="O368" s="8"/>
      <c r="P368" s="51"/>
      <c r="Q368" s="51"/>
      <c r="R368" s="51"/>
      <c r="S368" s="8"/>
      <c r="T368" s="8"/>
      <c r="U368" s="8"/>
      <c r="V368" s="8"/>
      <c r="W368" s="8"/>
      <c r="X368" s="8"/>
      <c r="Y368" s="8"/>
    </row>
    <row r="369" spans="2:25" ht="14.5" hidden="1" x14ac:dyDescent="0.35">
      <c r="B369" s="8"/>
      <c r="C369" s="8"/>
      <c r="D369" s="8"/>
      <c r="E369" s="8"/>
      <c r="F369" s="8"/>
      <c r="G369" s="8"/>
      <c r="H369" s="8"/>
      <c r="I369" s="8"/>
      <c r="J369" s="8"/>
      <c r="K369" s="8"/>
      <c r="L369" s="8"/>
      <c r="M369" s="91"/>
      <c r="N369" s="8"/>
      <c r="O369" s="8"/>
      <c r="P369" s="51"/>
      <c r="Q369" s="51"/>
      <c r="R369" s="51"/>
      <c r="S369" s="8"/>
      <c r="T369" s="8"/>
      <c r="U369" s="8"/>
      <c r="V369" s="8"/>
      <c r="W369" s="8"/>
      <c r="X369" s="8"/>
      <c r="Y369" s="8"/>
    </row>
    <row r="370" spans="2:25" ht="14.5" hidden="1" x14ac:dyDescent="0.35">
      <c r="B370" s="8"/>
      <c r="C370" s="8"/>
      <c r="D370" s="8"/>
      <c r="E370" s="8"/>
      <c r="F370" s="8"/>
      <c r="G370" s="8"/>
      <c r="H370" s="8"/>
      <c r="I370" s="8"/>
      <c r="J370" s="8"/>
      <c r="K370" s="8"/>
      <c r="L370" s="8"/>
      <c r="M370" s="91"/>
      <c r="N370" s="8"/>
      <c r="O370" s="8"/>
      <c r="P370" s="51"/>
      <c r="Q370" s="51"/>
      <c r="R370" s="51"/>
      <c r="S370" s="8"/>
      <c r="T370" s="8"/>
      <c r="U370" s="8"/>
      <c r="V370" s="8"/>
      <c r="W370" s="8"/>
      <c r="X370" s="8"/>
      <c r="Y370" s="8"/>
    </row>
    <row r="371" spans="2:25" ht="14.5" hidden="1" x14ac:dyDescent="0.35">
      <c r="B371" s="8"/>
      <c r="C371" s="8"/>
      <c r="D371" s="8"/>
      <c r="E371" s="8"/>
      <c r="F371" s="8"/>
      <c r="G371" s="8"/>
      <c r="H371" s="8"/>
      <c r="I371" s="8"/>
      <c r="J371" s="8"/>
      <c r="K371" s="8"/>
      <c r="L371" s="8"/>
      <c r="M371" s="91"/>
      <c r="N371" s="8"/>
      <c r="O371" s="8"/>
      <c r="P371" s="51"/>
      <c r="Q371" s="51"/>
      <c r="R371" s="51"/>
      <c r="S371" s="8"/>
      <c r="T371" s="8"/>
      <c r="U371" s="8"/>
      <c r="V371" s="8"/>
      <c r="W371" s="8"/>
      <c r="X371" s="8"/>
      <c r="Y371" s="8"/>
    </row>
    <row r="372" spans="2:25" ht="14.5" hidden="1" x14ac:dyDescent="0.35">
      <c r="B372" s="8"/>
      <c r="C372" s="8"/>
      <c r="D372" s="8"/>
      <c r="E372" s="8"/>
      <c r="F372" s="8"/>
      <c r="G372" s="8"/>
      <c r="H372" s="8"/>
      <c r="I372" s="8"/>
      <c r="J372" s="8"/>
      <c r="K372" s="8"/>
      <c r="L372" s="8"/>
      <c r="M372" s="91"/>
      <c r="N372" s="8"/>
      <c r="O372" s="8"/>
      <c r="P372" s="51"/>
      <c r="Q372" s="51"/>
      <c r="R372" s="51"/>
      <c r="S372" s="8"/>
      <c r="T372" s="8"/>
      <c r="U372" s="8"/>
      <c r="V372" s="8"/>
      <c r="W372" s="8"/>
      <c r="X372" s="8"/>
      <c r="Y372" s="8"/>
    </row>
    <row r="373" spans="2:25" ht="14.5" hidden="1" x14ac:dyDescent="0.35">
      <c r="B373" s="8"/>
      <c r="C373" s="8"/>
      <c r="D373" s="8"/>
      <c r="E373" s="8"/>
      <c r="F373" s="8"/>
      <c r="G373" s="8"/>
      <c r="H373" s="8"/>
      <c r="I373" s="8"/>
      <c r="J373" s="8"/>
      <c r="K373" s="8"/>
      <c r="L373" s="8"/>
      <c r="M373" s="91"/>
      <c r="N373" s="8"/>
      <c r="O373" s="8"/>
      <c r="P373" s="51"/>
      <c r="Q373" s="51"/>
      <c r="R373" s="51"/>
      <c r="S373" s="8"/>
      <c r="T373" s="8"/>
      <c r="U373" s="8"/>
      <c r="V373" s="8"/>
      <c r="W373" s="8"/>
      <c r="X373" s="8"/>
      <c r="Y373" s="8"/>
    </row>
    <row r="374" spans="2:25" ht="14.5" hidden="1" x14ac:dyDescent="0.35">
      <c r="B374" s="8"/>
      <c r="C374" s="8"/>
      <c r="D374" s="8"/>
      <c r="E374" s="8"/>
      <c r="F374" s="8"/>
      <c r="G374" s="8"/>
      <c r="H374" s="8"/>
      <c r="I374" s="8"/>
      <c r="J374" s="8"/>
      <c r="K374" s="8"/>
      <c r="L374" s="8"/>
      <c r="M374" s="91"/>
      <c r="N374" s="8"/>
      <c r="O374" s="8"/>
      <c r="P374" s="51"/>
      <c r="Q374" s="51"/>
      <c r="R374" s="51"/>
      <c r="S374" s="8"/>
      <c r="T374" s="8"/>
      <c r="U374" s="8"/>
      <c r="V374" s="8"/>
      <c r="W374" s="8"/>
      <c r="X374" s="8"/>
      <c r="Y374" s="8"/>
    </row>
    <row r="375" spans="2:25" ht="3.75" hidden="1" customHeight="1" x14ac:dyDescent="0.35">
      <c r="B375" s="8"/>
      <c r="C375" s="8"/>
      <c r="D375" s="8"/>
      <c r="E375" s="8"/>
      <c r="F375" s="8"/>
      <c r="G375" s="8"/>
      <c r="H375" s="8"/>
      <c r="I375" s="8"/>
      <c r="J375" s="8"/>
      <c r="K375" s="8"/>
      <c r="L375" s="8"/>
      <c r="M375" s="91"/>
      <c r="N375" s="8"/>
      <c r="O375" s="8"/>
      <c r="P375" s="51"/>
      <c r="Q375" s="51"/>
      <c r="R375" s="51"/>
      <c r="S375" s="8"/>
      <c r="T375" s="8"/>
      <c r="U375" s="8"/>
      <c r="V375" s="8"/>
      <c r="W375" s="8"/>
      <c r="X375" s="8"/>
      <c r="Y375" s="8"/>
    </row>
    <row r="376" spans="2:25" ht="13.5" hidden="1" customHeight="1" x14ac:dyDescent="0.35">
      <c r="C376" s="62"/>
      <c r="D376" s="62"/>
      <c r="E376" s="62"/>
      <c r="F376" s="62"/>
      <c r="G376" s="62"/>
      <c r="H376" s="62"/>
      <c r="I376" s="62"/>
      <c r="J376" s="62"/>
      <c r="K376" s="62"/>
      <c r="L376" s="62"/>
      <c r="M376" s="62"/>
      <c r="N376" s="8"/>
      <c r="O376" s="8"/>
      <c r="P376" s="51"/>
      <c r="Q376" s="51"/>
      <c r="R376" s="51"/>
      <c r="S376" s="8"/>
      <c r="T376" s="8"/>
      <c r="U376" s="8"/>
      <c r="V376" s="8"/>
      <c r="W376" s="8"/>
      <c r="X376" s="8"/>
      <c r="Y376" s="8"/>
    </row>
    <row r="377" spans="2:25" ht="15.5" hidden="1" x14ac:dyDescent="0.35">
      <c r="B377" s="27" t="s">
        <v>60</v>
      </c>
      <c r="C377" s="8"/>
      <c r="D377" s="51"/>
      <c r="E377" s="51"/>
      <c r="F377" s="8"/>
      <c r="G377" s="8"/>
      <c r="H377" s="8"/>
      <c r="I377" s="8"/>
      <c r="J377" s="8"/>
      <c r="K377" s="8"/>
      <c r="L377" s="8"/>
      <c r="M377" s="91"/>
      <c r="N377" s="8"/>
      <c r="O377" s="8"/>
      <c r="P377" s="51"/>
      <c r="Q377" s="51"/>
      <c r="R377" s="51"/>
      <c r="S377" s="8"/>
      <c r="T377" s="8"/>
      <c r="U377" s="8"/>
      <c r="V377" s="8"/>
      <c r="W377" s="8"/>
      <c r="X377" s="8"/>
      <c r="Y377" s="8"/>
    </row>
    <row r="378" spans="2:25" ht="14.5" hidden="1" x14ac:dyDescent="0.35">
      <c r="B378" s="63" t="s">
        <v>61</v>
      </c>
      <c r="C378" s="49"/>
      <c r="D378" s="50"/>
      <c r="E378" s="50"/>
      <c r="F378" s="50"/>
      <c r="G378" s="50"/>
      <c r="H378" s="50"/>
      <c r="I378" s="50"/>
      <c r="J378" s="50"/>
      <c r="K378" s="50"/>
      <c r="L378" s="50"/>
      <c r="M378" s="18"/>
      <c r="N378" s="8"/>
      <c r="O378" s="8"/>
      <c r="P378" s="51"/>
      <c r="Q378" s="51"/>
      <c r="R378" s="51"/>
      <c r="S378" s="8"/>
      <c r="T378" s="8"/>
      <c r="U378" s="8"/>
      <c r="V378" s="8"/>
      <c r="W378" s="8"/>
      <c r="X378" s="8"/>
      <c r="Y378" s="8"/>
    </row>
    <row r="379" spans="2:25" ht="14.5" hidden="1" x14ac:dyDescent="0.35">
      <c r="C379" s="18"/>
      <c r="D379" s="18"/>
      <c r="E379" s="18"/>
      <c r="F379" s="18"/>
      <c r="G379" s="18"/>
      <c r="H379" s="18">
        <v>2019</v>
      </c>
      <c r="I379" s="18">
        <v>2020</v>
      </c>
      <c r="J379" s="18">
        <v>2021</v>
      </c>
      <c r="K379" s="18">
        <v>2022</v>
      </c>
      <c r="L379" s="18">
        <v>2023</v>
      </c>
      <c r="M379" s="154">
        <v>2023</v>
      </c>
      <c r="N379" s="8"/>
      <c r="O379" s="8"/>
      <c r="P379" s="51"/>
      <c r="Q379" s="51"/>
      <c r="R379" s="51"/>
      <c r="S379" s="8"/>
      <c r="T379" s="8"/>
      <c r="U379" s="8"/>
      <c r="V379" s="8"/>
      <c r="W379" s="8"/>
      <c r="X379" s="8"/>
      <c r="Y379" s="8"/>
    </row>
    <row r="380" spans="2:25" ht="14.5" hidden="1" x14ac:dyDescent="0.35">
      <c r="B380" s="32" t="s">
        <v>46</v>
      </c>
      <c r="C380" s="54"/>
      <c r="D380" s="54"/>
      <c r="E380" s="54"/>
      <c r="F380" s="54"/>
      <c r="G380" s="54"/>
      <c r="H380" s="54"/>
      <c r="I380" s="54"/>
      <c r="J380" s="54"/>
      <c r="K380" s="54"/>
      <c r="L380" s="54"/>
      <c r="M380" s="54"/>
      <c r="N380" s="8"/>
      <c r="O380" s="8"/>
      <c r="P380" s="51"/>
      <c r="Q380" s="51"/>
      <c r="R380" s="51"/>
      <c r="S380" s="8"/>
      <c r="T380" s="8"/>
      <c r="U380" s="8"/>
      <c r="V380" s="8"/>
      <c r="W380" s="8"/>
      <c r="X380" s="8"/>
      <c r="Y380" s="8"/>
    </row>
    <row r="381" spans="2:25" ht="14.5" hidden="1" x14ac:dyDescent="0.35">
      <c r="B381" s="35">
        <v>2</v>
      </c>
      <c r="C381" s="54"/>
      <c r="D381" s="54"/>
      <c r="E381" s="54"/>
      <c r="F381" s="54"/>
      <c r="G381" s="54"/>
      <c r="H381" s="54"/>
      <c r="I381" s="54"/>
      <c r="J381" s="54"/>
      <c r="K381" s="54"/>
      <c r="L381" s="54"/>
      <c r="M381" s="54"/>
      <c r="N381" s="8"/>
      <c r="O381" s="8"/>
      <c r="P381" s="51"/>
      <c r="Q381" s="51"/>
      <c r="R381" s="51"/>
      <c r="S381" s="8"/>
      <c r="T381" s="8"/>
      <c r="U381" s="8"/>
      <c r="V381" s="8"/>
      <c r="W381" s="8"/>
      <c r="X381" s="8"/>
      <c r="Y381" s="8"/>
    </row>
    <row r="382" spans="2:25" ht="14.5" hidden="1" x14ac:dyDescent="0.35">
      <c r="B382" s="35">
        <v>3</v>
      </c>
      <c r="C382" s="54"/>
      <c r="D382" s="54"/>
      <c r="E382" s="54"/>
      <c r="F382" s="54"/>
      <c r="G382" s="54"/>
      <c r="H382" s="54"/>
      <c r="I382" s="54"/>
      <c r="J382" s="54"/>
      <c r="K382" s="54"/>
      <c r="L382" s="54"/>
      <c r="M382" s="54"/>
      <c r="N382" s="8"/>
      <c r="O382" s="8"/>
      <c r="P382" s="51"/>
      <c r="Q382" s="51"/>
      <c r="R382" s="51"/>
      <c r="S382" s="8"/>
      <c r="T382" s="8"/>
      <c r="U382" s="8"/>
      <c r="V382" s="8"/>
      <c r="W382" s="8"/>
      <c r="X382" s="8"/>
      <c r="Y382" s="8"/>
    </row>
    <row r="383" spans="2:25" ht="14.5" hidden="1" x14ac:dyDescent="0.35">
      <c r="B383" s="35" t="s">
        <v>47</v>
      </c>
      <c r="C383" s="54"/>
      <c r="D383" s="54"/>
      <c r="E383" s="54"/>
      <c r="F383" s="54"/>
      <c r="G383" s="54"/>
      <c r="H383" s="54"/>
      <c r="I383" s="54"/>
      <c r="J383" s="54"/>
      <c r="K383" s="54"/>
      <c r="L383" s="54"/>
      <c r="M383" s="54"/>
      <c r="N383" s="8"/>
      <c r="O383" s="8"/>
      <c r="P383" s="51"/>
      <c r="Q383" s="51"/>
      <c r="R383" s="51"/>
      <c r="S383" s="8"/>
      <c r="T383" s="8"/>
      <c r="U383" s="8"/>
      <c r="V383" s="8"/>
      <c r="W383" s="8"/>
      <c r="X383" s="8"/>
      <c r="Y383" s="8"/>
    </row>
    <row r="384" spans="2:25" ht="14.5" hidden="1" x14ac:dyDescent="0.35">
      <c r="B384" s="35" t="s">
        <v>2</v>
      </c>
      <c r="C384" s="54"/>
      <c r="D384" s="54"/>
      <c r="E384" s="54"/>
      <c r="F384" s="54"/>
      <c r="G384" s="54"/>
      <c r="H384" s="54"/>
      <c r="I384" s="54"/>
      <c r="J384" s="54"/>
      <c r="K384" s="54"/>
      <c r="L384" s="54"/>
      <c r="M384" s="54"/>
      <c r="N384" s="8"/>
      <c r="O384" s="8"/>
      <c r="P384" s="51"/>
      <c r="Q384" s="51"/>
      <c r="R384" s="51"/>
      <c r="S384" s="8"/>
      <c r="T384" s="8"/>
      <c r="U384" s="8"/>
      <c r="V384" s="8"/>
      <c r="W384" s="8"/>
      <c r="X384" s="8"/>
      <c r="Y384" s="8"/>
    </row>
    <row r="385" spans="2:25" ht="14.5" hidden="1" x14ac:dyDescent="0.35">
      <c r="B385" s="32" t="s">
        <v>8</v>
      </c>
      <c r="C385" s="55"/>
      <c r="D385" s="55"/>
      <c r="E385" s="55"/>
      <c r="F385" s="55"/>
      <c r="G385" s="55"/>
      <c r="H385" s="55"/>
      <c r="I385" s="55"/>
      <c r="J385" s="55"/>
      <c r="K385" s="55"/>
      <c r="L385" s="55"/>
      <c r="M385" s="55"/>
      <c r="N385" s="8"/>
      <c r="O385" s="8"/>
      <c r="P385" s="51"/>
      <c r="Q385" s="51"/>
      <c r="R385" s="51"/>
      <c r="S385" s="8"/>
      <c r="T385" s="8"/>
      <c r="U385" s="8"/>
      <c r="V385" s="8"/>
      <c r="W385" s="8"/>
      <c r="X385" s="8"/>
      <c r="Y385" s="8"/>
    </row>
    <row r="386" spans="2:25" ht="20.25" hidden="1" customHeight="1" x14ac:dyDescent="0.35">
      <c r="B386" s="8"/>
      <c r="C386" s="8"/>
      <c r="D386" s="51"/>
      <c r="E386" s="51"/>
      <c r="F386" s="8"/>
      <c r="G386" s="8"/>
      <c r="H386" s="8"/>
      <c r="I386" s="8"/>
      <c r="J386" s="8"/>
      <c r="K386" s="8"/>
      <c r="L386" s="8"/>
      <c r="M386" s="91"/>
      <c r="N386" s="8"/>
      <c r="O386" s="8"/>
      <c r="P386" s="51"/>
      <c r="Q386" s="51"/>
      <c r="R386" s="51"/>
      <c r="S386" s="8"/>
      <c r="T386" s="8"/>
      <c r="U386" s="8"/>
      <c r="V386" s="8"/>
      <c r="W386" s="8"/>
      <c r="X386" s="8"/>
      <c r="Y386" s="8"/>
    </row>
    <row r="387" spans="2:25" ht="20.25" customHeight="1" x14ac:dyDescent="0.35">
      <c r="B387" s="8"/>
      <c r="C387" s="8"/>
      <c r="D387" s="51"/>
      <c r="E387" s="51"/>
      <c r="F387" s="8"/>
      <c r="G387" s="8"/>
      <c r="H387" s="8"/>
      <c r="I387" s="8"/>
      <c r="J387" s="8"/>
      <c r="K387" s="8"/>
      <c r="L387" s="8"/>
      <c r="M387" s="91"/>
      <c r="N387" s="8"/>
      <c r="O387" s="8"/>
      <c r="P387" s="51"/>
      <c r="Q387" s="51"/>
      <c r="R387" s="51"/>
      <c r="S387" s="8"/>
      <c r="T387" s="8"/>
      <c r="U387" s="8"/>
      <c r="V387" s="8"/>
      <c r="W387" s="8"/>
      <c r="X387" s="8"/>
      <c r="Y387" s="8"/>
    </row>
    <row r="388" spans="2:25" ht="20.25" customHeight="1" x14ac:dyDescent="0.35">
      <c r="B388" s="124" t="s">
        <v>60</v>
      </c>
      <c r="C388" s="8"/>
      <c r="D388" s="51"/>
      <c r="E388" s="51"/>
      <c r="F388" s="8"/>
      <c r="G388" s="8"/>
      <c r="H388" s="8"/>
      <c r="I388" s="8"/>
      <c r="J388" s="8"/>
      <c r="K388" s="8"/>
      <c r="L388" s="8"/>
      <c r="M388" s="91"/>
      <c r="N388" s="8"/>
      <c r="O388" s="8"/>
      <c r="P388" s="51"/>
      <c r="Q388" s="51"/>
      <c r="R388" s="51"/>
      <c r="S388" s="8"/>
      <c r="T388" s="8"/>
      <c r="U388" s="8"/>
      <c r="V388" s="8"/>
      <c r="W388" s="8"/>
      <c r="X388" s="8"/>
      <c r="Y388" s="8"/>
    </row>
    <row r="389" spans="2:25" ht="14.5" customHeight="1" x14ac:dyDescent="0.35">
      <c r="B389" s="60"/>
      <c r="C389" s="49"/>
      <c r="D389" s="50"/>
      <c r="E389" s="50"/>
      <c r="F389" s="50"/>
      <c r="G389" s="50"/>
      <c r="I389" s="151"/>
      <c r="J389" s="151"/>
      <c r="K389" s="151"/>
      <c r="L389" s="150" t="str">
        <f>$G$7</f>
        <v>(Alla)</v>
      </c>
      <c r="M389" s="177" t="s">
        <v>6</v>
      </c>
      <c r="N389" s="8"/>
      <c r="O389" s="8"/>
      <c r="P389" s="51"/>
      <c r="Q389" s="51"/>
      <c r="R389" s="51"/>
      <c r="S389" s="8"/>
      <c r="T389" s="8"/>
      <c r="U389" s="8"/>
      <c r="V389" s="8"/>
      <c r="W389" s="8"/>
      <c r="X389" s="8"/>
      <c r="Y389" s="8"/>
    </row>
    <row r="390" spans="2:25" ht="13.4" customHeight="1" x14ac:dyDescent="0.35">
      <c r="C390" s="18"/>
      <c r="D390" s="18"/>
      <c r="E390" s="18"/>
      <c r="F390" s="18"/>
      <c r="G390" s="18"/>
      <c r="H390" s="18">
        <v>2019</v>
      </c>
      <c r="I390" s="18">
        <v>2020</v>
      </c>
      <c r="J390" s="18">
        <v>2021</v>
      </c>
      <c r="K390" s="9">
        <v>2022</v>
      </c>
      <c r="L390" s="155">
        <v>2023</v>
      </c>
      <c r="M390" s="30">
        <v>2023</v>
      </c>
      <c r="N390" s="8"/>
      <c r="O390" s="8"/>
      <c r="P390" s="51"/>
      <c r="Q390" s="51"/>
      <c r="R390" s="51"/>
      <c r="S390" s="8"/>
      <c r="T390" s="8"/>
      <c r="U390" s="8"/>
      <c r="V390" s="8"/>
      <c r="W390" s="8"/>
      <c r="X390" s="8"/>
      <c r="Y390" s="8"/>
    </row>
    <row r="391" spans="2:25" ht="15" customHeight="1" x14ac:dyDescent="0.35">
      <c r="B391" s="71" t="s">
        <v>46</v>
      </c>
      <c r="C391" s="72"/>
      <c r="D391" s="72"/>
      <c r="E391" s="72"/>
      <c r="F391" s="72"/>
      <c r="G391" s="72"/>
      <c r="H391" s="72">
        <f>IFERROR(IF(H$398&lt;7,,((GETPIVOTDATA("Toaletterna är rena och fina",pivot!$I$320,"År",2019,"Toaletterna är rena och fina",1)))),)</f>
        <v>0</v>
      </c>
      <c r="I391" s="72">
        <f>IFERROR(IF(I$398&lt;7,,((GETPIVOTDATA("Toaletterna är rena och fina",pivot!$I$320,"År",2020,"Toaletterna är rena och fina",1)))),)</f>
        <v>0.16483516483516483</v>
      </c>
      <c r="J391" s="72">
        <f>IFERROR(IF(J$398&lt;7,,((GETPIVOTDATA("Toaletterna är rena och fina",pivot!$I$320,"År",2021,"Toaletterna är rena och fina",1)))),)</f>
        <v>0.13402061855670103</v>
      </c>
      <c r="K391" s="73">
        <f>IFERROR(IF(K$398&lt;7,,((GETPIVOTDATA("Toaletterna är rena och fina",pivot!$I$320,"År",2022,"Toaletterna är rena och fina",1)))),)</f>
        <v>0.12371134020618557</v>
      </c>
      <c r="L391" s="89">
        <f>IFERROR(IF(L$398&lt;7,,((GETPIVOTDATA("Toaletterna är rena och fina",pivot!$I$320,"År",2023,"Toaletterna är rena och fina",1)))),)</f>
        <v>5.8139534883720929E-2</v>
      </c>
      <c r="M391" s="72">
        <v>5.8139534883720929E-2</v>
      </c>
      <c r="N391" s="8"/>
      <c r="O391" s="8"/>
      <c r="P391" s="51"/>
      <c r="Q391" s="51"/>
      <c r="R391" s="51"/>
      <c r="S391" s="8"/>
      <c r="T391" s="8"/>
      <c r="U391" s="8"/>
      <c r="V391" s="8"/>
      <c r="W391" s="8"/>
      <c r="X391" s="8"/>
      <c r="Y391" s="8"/>
    </row>
    <row r="392" spans="2:25" ht="12.75" customHeight="1" x14ac:dyDescent="0.35">
      <c r="B392" s="74">
        <v>2</v>
      </c>
      <c r="C392" s="72"/>
      <c r="D392" s="72"/>
      <c r="E392" s="72"/>
      <c r="F392" s="72"/>
      <c r="G392" s="72"/>
      <c r="H392" s="72">
        <f>IFERROR(IF(H$398&lt;7,,((GETPIVOTDATA("Toaletterna är rena och fina",pivot!$I$320,"År",2019,"Toaletterna är rena och fina",2)))),)</f>
        <v>2.7027027027027029E-2</v>
      </c>
      <c r="I392" s="72">
        <f>IFERROR(IF(I$398&lt;7,,((GETPIVOTDATA("Toaletterna är rena och fina",pivot!$I$320,"År",2020,"Toaletterna är rena och fina",2)))),)</f>
        <v>0.14285714285714285</v>
      </c>
      <c r="J392" s="72">
        <f>IFERROR(IF(J$398&lt;7,,((GETPIVOTDATA("Toaletterna är rena och fina",pivot!$I$320,"År",2021,"Toaletterna är rena och fina",2)))),)</f>
        <v>0.15463917525773196</v>
      </c>
      <c r="K392" s="73">
        <f>IFERROR(IF(K$398&lt;7,,((GETPIVOTDATA("Toaletterna är rena och fina",pivot!$I$320,"År",2022,"Toaletterna är rena och fina",2)))),)</f>
        <v>0.21649484536082475</v>
      </c>
      <c r="L392" s="89">
        <f>IFERROR(IF(L$398&lt;7,,((GETPIVOTDATA("Toaletterna är rena och fina",pivot!$I$320,"År",2023,"Toaletterna är rena och fina",2)))),)</f>
        <v>0.18604651162790697</v>
      </c>
      <c r="M392" s="72">
        <v>0.18604651162790697</v>
      </c>
      <c r="N392" s="8"/>
      <c r="O392" s="8"/>
      <c r="P392" s="51"/>
      <c r="Q392" s="51"/>
      <c r="R392" s="51"/>
      <c r="S392" s="8"/>
      <c r="T392" s="8"/>
      <c r="U392" s="8"/>
      <c r="V392" s="8"/>
      <c r="W392" s="8"/>
      <c r="X392" s="8"/>
      <c r="Y392" s="8"/>
    </row>
    <row r="393" spans="2:25" ht="12.75" customHeight="1" x14ac:dyDescent="0.35">
      <c r="B393" s="74">
        <v>3</v>
      </c>
      <c r="C393" s="72"/>
      <c r="D393" s="72"/>
      <c r="E393" s="72"/>
      <c r="F393" s="72"/>
      <c r="G393" s="72"/>
      <c r="H393" s="72">
        <f>IFERROR(IF(H$398&lt;7,,((GETPIVOTDATA("Toaletterna är rena och fina",pivot!$I$320,"År",2019,"Toaletterna är rena och fina",3)))),)</f>
        <v>0.20270270270270271</v>
      </c>
      <c r="I393" s="72">
        <f>IFERROR(IF(I$398&lt;7,,((GETPIVOTDATA("Toaletterna är rena och fina",pivot!$I$320,"År",2020,"Toaletterna är rena och fina",3)))),)</f>
        <v>0.4175824175824176</v>
      </c>
      <c r="J393" s="72">
        <f>IFERROR(IF(J$398&lt;7,,((GETPIVOTDATA("Toaletterna är rena och fina",pivot!$I$320,"År",2021,"Toaletterna är rena och fina",3)))),)</f>
        <v>0.39175257731958762</v>
      </c>
      <c r="K393" s="73">
        <f>IFERROR(IF(K$398&lt;7,,((GETPIVOTDATA("Toaletterna är rena och fina",pivot!$I$320,"År",2022,"Toaletterna är rena och fina",3)))),)</f>
        <v>0.31958762886597936</v>
      </c>
      <c r="L393" s="89">
        <f>IFERROR(IF(L$398&lt;7,,((GETPIVOTDATA("Toaletterna är rena och fina",pivot!$I$320,"År",2023,"Toaletterna är rena och fina",3)))),)</f>
        <v>0.32558139534883723</v>
      </c>
      <c r="M393" s="72">
        <v>0.32558139534883723</v>
      </c>
      <c r="N393" s="8"/>
      <c r="O393" s="8"/>
      <c r="P393" s="51"/>
      <c r="Q393" s="51"/>
      <c r="R393" s="51"/>
      <c r="S393" s="8"/>
      <c r="T393" s="8"/>
      <c r="U393" s="8"/>
      <c r="V393" s="8"/>
      <c r="W393" s="8"/>
      <c r="X393" s="8"/>
      <c r="Y393" s="8"/>
    </row>
    <row r="394" spans="2:25" ht="14.25" customHeight="1" x14ac:dyDescent="0.35">
      <c r="B394" s="74" t="s">
        <v>47</v>
      </c>
      <c r="C394" s="72"/>
      <c r="D394" s="72"/>
      <c r="E394" s="72"/>
      <c r="F394" s="72"/>
      <c r="G394" s="72"/>
      <c r="H394" s="72">
        <f>IFERROR(IF(H$398&lt;7,,((GETPIVOTDATA("Toaletterna är rena och fina",pivot!$I$320,"År",2019,"Toaletterna är rena och fina",4)))),)</f>
        <v>0.68918918918918914</v>
      </c>
      <c r="I394" s="72">
        <f>IFERROR(IF(I$398&lt;7,,((GETPIVOTDATA("Toaletterna är rena och fina",pivot!$I$320,"År",2020,"Toaletterna är rena och fina",4)))),)</f>
        <v>0.24175824175824176</v>
      </c>
      <c r="J394" s="72">
        <f>IFERROR(IF(J$398&lt;7,,((GETPIVOTDATA("Toaletterna är rena och fina",pivot!$I$320,"År",2021,"Toaletterna är rena och fina",4)))),)</f>
        <v>0.26804123711340205</v>
      </c>
      <c r="K394" s="73">
        <f>IFERROR(IF(K$398&lt;7,,((GETPIVOTDATA("Toaletterna är rena och fina",pivot!$I$320,"År",2022,"Toaletterna är rena och fina",4)))),)</f>
        <v>0.30927835051546393</v>
      </c>
      <c r="L394" s="89">
        <f>IFERROR(IF(L$398&lt;7,,((GETPIVOTDATA("Toaletterna är rena och fina",pivot!$I$320,"År",2023,"Toaletterna är rena och fina",4)))),)</f>
        <v>0.37209302325581395</v>
      </c>
      <c r="M394" s="72">
        <v>0.37209302325581395</v>
      </c>
      <c r="N394" s="8"/>
      <c r="O394" s="8"/>
      <c r="P394" s="51"/>
      <c r="Q394" s="51"/>
      <c r="R394" s="51"/>
      <c r="S394" s="8"/>
      <c r="T394" s="8"/>
      <c r="U394" s="8"/>
      <c r="V394" s="8"/>
      <c r="W394" s="8"/>
      <c r="X394" s="8"/>
      <c r="Y394" s="8"/>
    </row>
    <row r="395" spans="2:25" ht="15" customHeight="1" x14ac:dyDescent="0.35">
      <c r="B395" s="74" t="s">
        <v>2</v>
      </c>
      <c r="C395" s="72"/>
      <c r="D395" s="72"/>
      <c r="E395" s="72"/>
      <c r="F395" s="72"/>
      <c r="G395" s="72"/>
      <c r="H395" s="72">
        <f>IFERROR(IF(H$398&lt;7,,((GETPIVOTDATA("Toaletterna är rena och fina",pivot!$I$320,"År",2019,"Toaletterna är rena och fina",5)))),)</f>
        <v>8.1081081081081086E-2</v>
      </c>
      <c r="I395" s="72">
        <f>IFERROR(IF(I$398&lt;7,,((GETPIVOTDATA("Toaletterna är rena och fina",pivot!$I$320,"År",2020,"Toaletterna är rena och fina",5)))),)</f>
        <v>3.2967032967032968E-2</v>
      </c>
      <c r="J395" s="72">
        <f>IFERROR(IF(J$398&lt;7,,((GETPIVOTDATA("Toaletterna är rena och fina",pivot!$I$320,"År",2021,"Toaletterna är rena och fina",5)))),)</f>
        <v>5.1546391752577317E-2</v>
      </c>
      <c r="K395" s="73">
        <f>IFERROR(IF(K$398&lt;7,,((GETPIVOTDATA("Toaletterna är rena och fina",pivot!$I$320,"År",2022,"Toaletterna är rena och fina",5)))),)</f>
        <v>3.0927835051546393E-2</v>
      </c>
      <c r="L395" s="89">
        <f>IFERROR(IF(L$398&lt;7,,((GETPIVOTDATA("Toaletterna är rena och fina",pivot!$I$320,"År",2023,"Toaletterna är rena och fina",5)))),)</f>
        <v>5.8139534883720929E-2</v>
      </c>
      <c r="M395" s="72">
        <v>5.8139534883720929E-2</v>
      </c>
      <c r="N395" s="8"/>
      <c r="O395" s="8"/>
      <c r="P395" s="51"/>
      <c r="Q395" s="51"/>
      <c r="R395" s="51"/>
      <c r="S395" s="8"/>
      <c r="T395" s="8"/>
      <c r="U395" s="8"/>
      <c r="V395" s="8"/>
      <c r="W395" s="8"/>
      <c r="X395" s="8"/>
      <c r="Y395" s="8"/>
    </row>
    <row r="396" spans="2:25" ht="13.5" customHeight="1" x14ac:dyDescent="0.35">
      <c r="B396" s="71" t="s">
        <v>6</v>
      </c>
      <c r="C396" s="72"/>
      <c r="D396" s="72"/>
      <c r="E396" s="72"/>
      <c r="F396" s="72"/>
      <c r="G396" s="72"/>
      <c r="H396" s="72">
        <f>IFERROR(SUM(H391:H395),"-")</f>
        <v>1</v>
      </c>
      <c r="I396" s="72">
        <f>IFERROR(SUM(I391:I395),"-")</f>
        <v>1.0000000000000002</v>
      </c>
      <c r="J396" s="72">
        <f>IFERROR(SUM(J391:J395),"-")</f>
        <v>1</v>
      </c>
      <c r="K396" s="73">
        <f>IFERROR(SUM(K391:K395),"-")</f>
        <v>1</v>
      </c>
      <c r="L396" s="89">
        <f>IFERROR(SUM(L391:L395),"-")</f>
        <v>1</v>
      </c>
      <c r="M396" s="72">
        <v>1</v>
      </c>
      <c r="N396" s="8"/>
      <c r="O396" s="8"/>
      <c r="P396" s="51"/>
      <c r="Q396" s="51"/>
      <c r="R396" s="51"/>
      <c r="S396" s="8"/>
      <c r="T396" s="8"/>
      <c r="U396" s="8"/>
      <c r="V396" s="8"/>
      <c r="W396" s="8"/>
      <c r="X396" s="8"/>
      <c r="Y396" s="8"/>
    </row>
    <row r="397" spans="2:25" ht="15" customHeight="1" x14ac:dyDescent="0.35">
      <c r="B397" s="106" t="s">
        <v>7</v>
      </c>
      <c r="C397" s="107"/>
      <c r="D397" s="107"/>
      <c r="E397" s="107"/>
      <c r="F397" s="107"/>
      <c r="G397" s="107"/>
      <c r="H397" s="107">
        <f>IFERROR(IF(H$398&lt;7,,((GETPIVOTDATA("Toaletterna är rena och fina",pivot!$P$320,"År",2019)))),)</f>
        <v>3.7205882352941178</v>
      </c>
      <c r="I397" s="107">
        <f>IFERROR(IF(I$398&lt;7,,((GETPIVOTDATA("Toaletterna är rena och fina",pivot!$P$320,"År",2020)))),)</f>
        <v>2.7613636363636362</v>
      </c>
      <c r="J397" s="107">
        <f>IFERROR(IF(J$398&lt;7,,((GETPIVOTDATA("Toaletterna är rena och fina",pivot!$P$320,"År",2021)))),)</f>
        <v>2.8369565217391304</v>
      </c>
      <c r="K397" s="172">
        <f>IFERROR(IF(K$398&lt;7,,((GETPIVOTDATA("Toaletterna är rena och fina",pivot!$P$320,"År",2022)))),)</f>
        <v>2.8404255319148937</v>
      </c>
      <c r="L397" s="162">
        <f>IFERROR(IF(L$398&lt;7,,((GETPIVOTDATA("Toaletterna är rena och fina",pivot!$P$320,"År",2023)))),)</f>
        <v>3.074074074074074</v>
      </c>
      <c r="M397" s="107">
        <v>3.074074074074074</v>
      </c>
      <c r="N397" s="8"/>
      <c r="O397" s="8"/>
      <c r="P397" s="51"/>
      <c r="Q397" s="51"/>
      <c r="R397" s="51"/>
      <c r="S397" s="8"/>
      <c r="T397" s="8"/>
      <c r="U397" s="8"/>
      <c r="V397" s="8"/>
      <c r="W397" s="8"/>
      <c r="X397" s="8"/>
      <c r="Y397" s="8"/>
    </row>
    <row r="398" spans="2:25" ht="15.75" customHeight="1" x14ac:dyDescent="0.35">
      <c r="B398" s="71" t="s">
        <v>8</v>
      </c>
      <c r="C398" s="75"/>
      <c r="D398" s="75"/>
      <c r="E398" s="75"/>
      <c r="F398" s="75"/>
      <c r="G398" s="75"/>
      <c r="H398" s="80">
        <f>IFERROR(GETPIVOTDATA("Toaletterna är rena och fina",pivot!$A$320,"År",2019),)</f>
        <v>74</v>
      </c>
      <c r="I398" s="80">
        <f>IFERROR(GETPIVOTDATA("Toaletterna är rena och fina",pivot!$A$320,"År",2020),)</f>
        <v>91</v>
      </c>
      <c r="J398" s="80">
        <f>IFERROR(GETPIVOTDATA("Toaletterna är rena och fina",pivot!$A$320,"År",2021),)</f>
        <v>97</v>
      </c>
      <c r="K398" s="76">
        <f>IFERROR(GETPIVOTDATA("Toaletterna är rena och fina",pivot!$A$320,"År",2022),)</f>
        <v>97</v>
      </c>
      <c r="L398" s="158">
        <f>IFERROR(GETPIVOTDATA("Toaletterna är rena och fina",pivot!$A$320,"År",2023),)</f>
        <v>86</v>
      </c>
      <c r="M398" s="80">
        <v>86</v>
      </c>
      <c r="N398" s="8"/>
      <c r="O398" s="8"/>
      <c r="P398" s="51"/>
      <c r="Q398" s="51"/>
      <c r="R398" s="51"/>
      <c r="S398" s="8"/>
      <c r="T398" s="8"/>
      <c r="U398" s="8"/>
      <c r="V398" s="8"/>
      <c r="W398" s="8"/>
      <c r="X398" s="8"/>
      <c r="Y398" s="8"/>
    </row>
    <row r="399" spans="2:25" ht="18.75" customHeight="1" x14ac:dyDescent="0.35">
      <c r="B399" s="8"/>
      <c r="C399" s="8"/>
      <c r="D399" s="51"/>
      <c r="E399" s="51"/>
      <c r="F399" s="8"/>
      <c r="G399" s="8"/>
      <c r="H399" s="8"/>
      <c r="I399" s="8"/>
      <c r="J399" s="8"/>
      <c r="K399" s="65"/>
      <c r="L399" s="8"/>
      <c r="M399" s="91"/>
      <c r="N399" s="8"/>
      <c r="O399" s="8"/>
      <c r="P399" s="51"/>
      <c r="Q399" s="51"/>
      <c r="R399" s="51"/>
      <c r="S399" s="8"/>
      <c r="T399" s="8"/>
      <c r="U399" s="8"/>
      <c r="V399" s="8"/>
      <c r="W399" s="8"/>
      <c r="X399" s="8"/>
      <c r="Y399" s="8"/>
    </row>
    <row r="400" spans="2:25" ht="15.5" x14ac:dyDescent="0.35">
      <c r="B400" s="124" t="s">
        <v>76</v>
      </c>
      <c r="C400" s="8"/>
      <c r="D400" s="51"/>
      <c r="E400" s="51"/>
      <c r="F400" s="8"/>
      <c r="G400" s="8"/>
      <c r="H400" s="8"/>
      <c r="I400" s="8"/>
      <c r="J400" s="8"/>
      <c r="K400" s="65"/>
      <c r="L400" s="8"/>
      <c r="M400" s="91"/>
      <c r="N400" s="8"/>
      <c r="O400" s="8"/>
      <c r="P400" s="51"/>
      <c r="Q400" s="51"/>
      <c r="R400" s="51"/>
      <c r="S400" s="8"/>
      <c r="T400" s="8"/>
      <c r="U400" s="8"/>
      <c r="V400" s="8"/>
      <c r="W400" s="8"/>
      <c r="X400" s="8"/>
      <c r="Y400" s="8"/>
    </row>
    <row r="401" spans="2:26" ht="14.5" x14ac:dyDescent="0.35">
      <c r="B401" s="60"/>
      <c r="C401" s="49"/>
      <c r="D401" s="50"/>
      <c r="E401" s="50"/>
      <c r="F401" s="50"/>
      <c r="G401" s="50"/>
      <c r="I401" s="151"/>
      <c r="J401" s="151"/>
      <c r="K401" s="15"/>
      <c r="L401" s="150" t="str">
        <f>$G$7</f>
        <v>(Alla)</v>
      </c>
      <c r="M401" s="177" t="s">
        <v>6</v>
      </c>
      <c r="N401" s="8"/>
      <c r="O401" s="8"/>
      <c r="P401" s="51"/>
      <c r="Q401" s="51"/>
      <c r="R401" s="51"/>
      <c r="S401" s="8"/>
      <c r="T401" s="8"/>
      <c r="U401" s="8"/>
      <c r="V401" s="8"/>
      <c r="W401" s="8"/>
      <c r="X401" s="8"/>
      <c r="Y401" s="8"/>
    </row>
    <row r="402" spans="2:26" ht="14.5" x14ac:dyDescent="0.35">
      <c r="C402" s="18"/>
      <c r="D402" s="18"/>
      <c r="E402" s="18"/>
      <c r="F402" s="18"/>
      <c r="G402" s="18"/>
      <c r="H402" s="18">
        <v>2019</v>
      </c>
      <c r="I402" s="18">
        <v>2020</v>
      </c>
      <c r="J402" s="18">
        <v>2021</v>
      </c>
      <c r="K402" s="9">
        <v>2022</v>
      </c>
      <c r="L402" s="155">
        <v>2023</v>
      </c>
      <c r="M402" s="30">
        <v>2023</v>
      </c>
      <c r="N402" s="8"/>
      <c r="O402" s="8"/>
      <c r="P402" s="51"/>
      <c r="Q402" s="51"/>
      <c r="R402" s="51"/>
      <c r="S402" s="8"/>
      <c r="T402" s="8"/>
      <c r="U402" s="8"/>
      <c r="V402" s="8"/>
      <c r="W402" s="8"/>
      <c r="X402" s="8"/>
      <c r="Y402" s="8"/>
    </row>
    <row r="403" spans="2:26" ht="14.5" x14ac:dyDescent="0.35">
      <c r="B403" s="71" t="s">
        <v>46</v>
      </c>
      <c r="C403" s="72"/>
      <c r="D403" s="72"/>
      <c r="E403" s="72"/>
      <c r="F403" s="72"/>
      <c r="G403" s="72"/>
      <c r="H403" s="72">
        <f>IFERROR(IF(H$410&lt;7,,((GETPIVOTDATA("Jag får veta vad man kan göra efter studenten ",pivot!$I$332,"År",2019,"Jag får veta vad man kan göra efter studenten ",1)))),)</f>
        <v>4.0540540540540543E-2</v>
      </c>
      <c r="I403" s="72">
        <f>IFERROR(IF(I$410&lt;7,,((GETPIVOTDATA("Jag får veta vad man kan göra efter studenten ",pivot!$I$332,"År",2020,"Jag får veta vad man kan göra efter studenten ",1)))),)</f>
        <v>6.25E-2</v>
      </c>
      <c r="J403" s="72">
        <f>IFERROR(IF(J$410&lt;7,,((GETPIVOTDATA("Jag får veta vad man kan göra efter studenten ",pivot!$I$332,"År",2021,"Jag får veta vad man kan göra efter studenten ",1)))),)</f>
        <v>4.2553191489361701E-2</v>
      </c>
      <c r="K403" s="73">
        <f>IFERROR(IF(K$410&lt;7,,((GETPIVOTDATA("Jag får veta vad man kan göra efter studenten ",pivot!$I$332,"År",2022,"Jag får veta vad man kan göra efter studenten ",1)))),)</f>
        <v>7.0707070707070704E-2</v>
      </c>
      <c r="L403" s="89">
        <f>IFERROR(IF(L$410&lt;7,,((GETPIVOTDATA("Jag får veta vad man kan göra efter studenten ",pivot!$I$332,"År",2023,"Jag får veta vad man kan göra efter studenten ",1)))),)</f>
        <v>3.3707865168539325E-2</v>
      </c>
      <c r="M403" s="72">
        <v>3.3707865168539325E-2</v>
      </c>
      <c r="N403" s="8"/>
      <c r="O403" s="8"/>
      <c r="P403" s="51"/>
      <c r="Q403" s="51"/>
      <c r="R403" s="51"/>
      <c r="S403" s="8"/>
      <c r="T403" s="8"/>
      <c r="U403" s="8"/>
      <c r="V403" s="8"/>
      <c r="W403" s="8"/>
      <c r="X403" s="8"/>
      <c r="Y403" s="8"/>
    </row>
    <row r="404" spans="2:26" ht="14.5" x14ac:dyDescent="0.35">
      <c r="B404" s="74">
        <v>2</v>
      </c>
      <c r="C404" s="72"/>
      <c r="D404" s="72"/>
      <c r="E404" s="72"/>
      <c r="F404" s="72"/>
      <c r="G404" s="72"/>
      <c r="H404" s="72">
        <f>IFERROR(IF(H$410&lt;7,,((GETPIVOTDATA("Jag får veta vad man kan göra efter studenten ",pivot!$I$332,"År",2019,"Jag får veta vad man kan göra efter studenten ",2)))),)</f>
        <v>2.7027027027027029E-2</v>
      </c>
      <c r="I404" s="72">
        <f>IFERROR(IF(I$410&lt;7,,((GETPIVOTDATA("Jag får veta vad man kan göra efter studenten ",pivot!$I$332,"År",2020,"Jag får veta vad man kan göra efter studenten ",2)))),)</f>
        <v>2.0833333333333332E-2</v>
      </c>
      <c r="J404" s="72">
        <f>IFERROR(IF(J$410&lt;7,,((GETPIVOTDATA("Jag får veta vad man kan göra efter studenten ",pivot!$I$332,"År",2021,"Jag får veta vad man kan göra efter studenten ",2)))),)</f>
        <v>3.1914893617021274E-2</v>
      </c>
      <c r="K404" s="73">
        <f>IFERROR(IF(K$410&lt;7,,((GETPIVOTDATA("Jag får veta vad man kan göra efter studenten ",pivot!$I$332,"År",2022,"Jag får veta vad man kan göra efter studenten ",2)))),)</f>
        <v>3.0303030303030304E-2</v>
      </c>
      <c r="L404" s="89">
        <f>IFERROR(IF(L$410&lt;7,,((GETPIVOTDATA("Jag får veta vad man kan göra efter studenten ",pivot!$I$332,"År",2023,"Jag får veta vad man kan göra efter studenten ",2)))),)</f>
        <v>7.8651685393258425E-2</v>
      </c>
      <c r="M404" s="72">
        <v>7.8651685393258425E-2</v>
      </c>
      <c r="N404" s="8"/>
      <c r="O404" s="8"/>
      <c r="P404" s="51"/>
      <c r="Q404" s="51"/>
      <c r="R404" s="51"/>
      <c r="S404" s="8"/>
      <c r="T404" s="8"/>
      <c r="U404" s="8"/>
      <c r="V404" s="8"/>
      <c r="W404" s="8"/>
      <c r="X404" s="8"/>
      <c r="Y404" s="8"/>
    </row>
    <row r="405" spans="2:26" ht="14.5" x14ac:dyDescent="0.35">
      <c r="B405" s="74">
        <v>3</v>
      </c>
      <c r="C405" s="72"/>
      <c r="D405" s="72"/>
      <c r="E405" s="72"/>
      <c r="F405" s="72"/>
      <c r="G405" s="72"/>
      <c r="H405" s="72">
        <f>IFERROR(IF(H$410&lt;7,,((GETPIVOTDATA("Jag får veta vad man kan göra efter studenten ",pivot!$I$332,"År",2019,"Jag får veta vad man kan göra efter studenten ",3)))),)</f>
        <v>0.25675675675675674</v>
      </c>
      <c r="I405" s="72">
        <f>IFERROR(IF(I$410&lt;7,,((GETPIVOTDATA("Jag får veta vad man kan göra efter studenten ",pivot!$I$332,"År",2020,"Jag får veta vad man kan göra efter studenten ",3)))),)</f>
        <v>0.30208333333333331</v>
      </c>
      <c r="J405" s="72">
        <f>IFERROR(IF(J$410&lt;7,,((GETPIVOTDATA("Jag får veta vad man kan göra efter studenten ",pivot!$I$332,"År",2021,"Jag får veta vad man kan göra efter studenten ",3)))),)</f>
        <v>0.30851063829787234</v>
      </c>
      <c r="K405" s="73">
        <f>IFERROR(IF(K$410&lt;7,,((GETPIVOTDATA("Jag får veta vad man kan göra efter studenten ",pivot!$I$332,"År",2022,"Jag får veta vad man kan göra efter studenten ",3)))),)</f>
        <v>0.27272727272727271</v>
      </c>
      <c r="L405" s="89">
        <f>IFERROR(IF(L$410&lt;7,,((GETPIVOTDATA("Jag får veta vad man kan göra efter studenten ",pivot!$I$332,"År",2023,"Jag får veta vad man kan göra efter studenten ",3)))),)</f>
        <v>0.2696629213483146</v>
      </c>
      <c r="M405" s="72">
        <v>0.2696629213483146</v>
      </c>
      <c r="N405" s="8"/>
      <c r="O405" s="8"/>
      <c r="P405" s="51"/>
      <c r="Q405" s="51"/>
      <c r="R405" s="51"/>
      <c r="S405" s="8"/>
      <c r="T405" s="8"/>
      <c r="U405" s="8"/>
      <c r="V405" s="8"/>
      <c r="W405" s="8"/>
      <c r="X405" s="8"/>
      <c r="Y405" s="8"/>
    </row>
    <row r="406" spans="2:26" ht="14.5" x14ac:dyDescent="0.35">
      <c r="B406" s="74" t="s">
        <v>47</v>
      </c>
      <c r="C406" s="72"/>
      <c r="D406" s="72"/>
      <c r="E406" s="72"/>
      <c r="F406" s="72"/>
      <c r="G406" s="72"/>
      <c r="H406" s="72">
        <f>IFERROR(IF(H$410&lt;7,,((GETPIVOTDATA("Jag får veta vad man kan göra efter studenten ",pivot!$I$332,"År",2019,"Jag får veta vad man kan göra efter studenten ",4)))),)</f>
        <v>0.58108108108108103</v>
      </c>
      <c r="I406" s="72">
        <f>IFERROR(IF(I$410&lt;7,,((GETPIVOTDATA("Jag får veta vad man kan göra efter studenten ",pivot!$I$332,"År",2020,"Jag får veta vad man kan göra efter studenten ",4)))),)</f>
        <v>0.45833333333333331</v>
      </c>
      <c r="J406" s="72">
        <f>IFERROR(IF(J$410&lt;7,,((GETPIVOTDATA("Jag får veta vad man kan göra efter studenten ",pivot!$I$332,"År",2021,"Jag får veta vad man kan göra efter studenten ",4)))),)</f>
        <v>0.35106382978723405</v>
      </c>
      <c r="K406" s="73">
        <f>IFERROR(IF(K$410&lt;7,,((GETPIVOTDATA("Jag får veta vad man kan göra efter studenten ",pivot!$I$332,"År",2022,"Jag får veta vad man kan göra efter studenten ",4)))),)</f>
        <v>0.40404040404040403</v>
      </c>
      <c r="L406" s="89">
        <f>IFERROR(IF(L$410&lt;7,,((GETPIVOTDATA("Jag får veta vad man kan göra efter studenten ",pivot!$I$332,"År",2023,"Jag får veta vad man kan göra efter studenten ",4)))),)</f>
        <v>0.42696629213483145</v>
      </c>
      <c r="M406" s="72">
        <v>0.42696629213483145</v>
      </c>
      <c r="N406" s="8"/>
      <c r="O406" s="8"/>
      <c r="P406" s="51"/>
      <c r="Q406" s="51"/>
      <c r="R406" s="51"/>
      <c r="S406" s="8"/>
      <c r="T406" s="8"/>
      <c r="U406" s="8"/>
      <c r="V406" s="8"/>
      <c r="W406" s="8"/>
      <c r="X406" s="8"/>
      <c r="Y406" s="8"/>
    </row>
    <row r="407" spans="2:26" ht="14.5" x14ac:dyDescent="0.35">
      <c r="B407" s="74" t="s">
        <v>2</v>
      </c>
      <c r="C407" s="72"/>
      <c r="D407" s="72"/>
      <c r="E407" s="72"/>
      <c r="F407" s="72"/>
      <c r="G407" s="72"/>
      <c r="H407" s="72">
        <f>IFERROR(IF(H$410&lt;7,,((GETPIVOTDATA("Jag får veta vad man kan göra efter studenten ",pivot!$I$332,"År",2019,"Jag får veta vad man kan göra efter studenten ",5)))),)</f>
        <v>9.45945945945946E-2</v>
      </c>
      <c r="I407" s="72">
        <f>IFERROR(IF(I$410&lt;7,,((GETPIVOTDATA("Jag får veta vad man kan göra efter studenten ",pivot!$I$332,"År",2020,"Jag får veta vad man kan göra efter studenten ",5)))),)</f>
        <v>0.15625</v>
      </c>
      <c r="J407" s="72">
        <f>IFERROR(IF(J$410&lt;7,,((GETPIVOTDATA("Jag får veta vad man kan göra efter studenten ",pivot!$I$332,"År",2021,"Jag får veta vad man kan göra efter studenten ",5)))),)</f>
        <v>0.26595744680851063</v>
      </c>
      <c r="K407" s="73">
        <f>IFERROR(IF(K$410&lt;7,,((GETPIVOTDATA("Jag får veta vad man kan göra efter studenten ",pivot!$I$332,"År",2022,"Jag får veta vad man kan göra efter studenten ",5)))),)</f>
        <v>0.22222222222222221</v>
      </c>
      <c r="L407" s="89">
        <f>IFERROR(IF(L$410&lt;7,,((GETPIVOTDATA("Jag får veta vad man kan göra efter studenten ",pivot!$I$332,"År",2023,"Jag får veta vad man kan göra efter studenten ",5)))),)</f>
        <v>0.19101123595505617</v>
      </c>
      <c r="M407" s="72">
        <v>0.19101123595505617</v>
      </c>
      <c r="N407" s="8"/>
      <c r="O407" s="8"/>
      <c r="P407" s="51"/>
      <c r="Q407" s="51"/>
      <c r="R407" s="51"/>
      <c r="S407" s="8"/>
      <c r="T407" s="8"/>
      <c r="U407" s="8"/>
      <c r="V407" s="8"/>
      <c r="W407" s="8"/>
      <c r="X407" s="8"/>
      <c r="Y407" s="8"/>
    </row>
    <row r="408" spans="2:26" ht="14.5" x14ac:dyDescent="0.35">
      <c r="B408" s="71" t="s">
        <v>6</v>
      </c>
      <c r="C408" s="72"/>
      <c r="D408" s="72"/>
      <c r="E408" s="72"/>
      <c r="F408" s="72"/>
      <c r="G408" s="72"/>
      <c r="H408" s="72">
        <f>IFERROR(SUM(H403:H407),"-")</f>
        <v>1</v>
      </c>
      <c r="I408" s="72">
        <f>IFERROR(SUM(I403:I407),"-")</f>
        <v>1</v>
      </c>
      <c r="J408" s="72">
        <f>IFERROR(SUM(J403:J407),"-")</f>
        <v>1</v>
      </c>
      <c r="K408" s="73">
        <f>IFERROR(SUM(K403:K407),"-")</f>
        <v>0.99999999999999989</v>
      </c>
      <c r="L408" s="89">
        <f>IFERROR(SUM(L403:L407),"-")</f>
        <v>1</v>
      </c>
      <c r="M408" s="72">
        <v>1</v>
      </c>
      <c r="N408" s="8"/>
      <c r="O408" s="8"/>
      <c r="P408" s="51"/>
      <c r="Q408" s="51"/>
      <c r="R408" s="51"/>
      <c r="S408" s="8"/>
      <c r="T408" s="8"/>
      <c r="U408" s="8"/>
      <c r="V408" s="8"/>
      <c r="W408" s="8"/>
      <c r="X408" s="8"/>
      <c r="Y408" s="8"/>
    </row>
    <row r="409" spans="2:26" ht="14.5" x14ac:dyDescent="0.35">
      <c r="B409" s="106" t="s">
        <v>7</v>
      </c>
      <c r="C409" s="107"/>
      <c r="D409" s="107"/>
      <c r="E409" s="107"/>
      <c r="F409" s="107"/>
      <c r="G409" s="107"/>
      <c r="H409" s="107">
        <f>IFERROR(IF(H$410&lt;7,,((GETPIVOTDATA("Jag får veta vad man kan göra efter studenten ",pivot!$P$332,"År",2019)))),)</f>
        <v>3.5223880597014925</v>
      </c>
      <c r="I409" s="107">
        <f>IFERROR(IF(I$410&lt;7,,((GETPIVOTDATA("Jag får veta vad man kan göra efter studenten ",pivot!$P$332,"År",2020)))),)</f>
        <v>3.3703703703703702</v>
      </c>
      <c r="J409" s="107">
        <f>IFERROR(IF(J$410&lt;7,,((GETPIVOTDATA("Jag får veta vad man kan göra efter studenten ",pivot!$P$332,"År",2021)))),)</f>
        <v>3.318840579710145</v>
      </c>
      <c r="K409" s="172">
        <f>IFERROR(IF(K$410&lt;7,,((GETPIVOTDATA("Jag får veta vad man kan göra efter studenten ",pivot!$P$332,"År",2022)))),)</f>
        <v>3.2987012987012987</v>
      </c>
      <c r="L409" s="162">
        <f>IFERROR(IF(L$410&lt;7,,((GETPIVOTDATA("Jag får veta vad man kan göra efter studenten ",pivot!$P$332,"År",2023)))),)</f>
        <v>3.3472222222222223</v>
      </c>
      <c r="M409" s="107">
        <v>3.3472222222222223</v>
      </c>
      <c r="N409" s="8"/>
      <c r="O409" s="8"/>
      <c r="P409" s="51"/>
      <c r="Q409" s="51"/>
      <c r="R409" s="51"/>
      <c r="S409" s="8"/>
      <c r="T409" s="8"/>
      <c r="U409" s="8"/>
      <c r="V409" s="8"/>
      <c r="W409" s="8"/>
      <c r="X409" s="8"/>
      <c r="Y409" s="8"/>
    </row>
    <row r="410" spans="2:26" ht="14.5" x14ac:dyDescent="0.35">
      <c r="B410" s="71" t="s">
        <v>8</v>
      </c>
      <c r="C410" s="75"/>
      <c r="D410" s="75"/>
      <c r="E410" s="75"/>
      <c r="F410" s="75"/>
      <c r="G410" s="75"/>
      <c r="H410" s="80">
        <f>IFERROR(GETPIVOTDATA("Jag får veta vad man kan göra efter studenten ",pivot!$A$332,"År",2019),)</f>
        <v>74</v>
      </c>
      <c r="I410" s="80">
        <f>IFERROR(GETPIVOTDATA("Jag får veta vad man kan göra efter studenten ",pivot!$A$332,"År",2020),)</f>
        <v>96</v>
      </c>
      <c r="J410" s="80">
        <f>IFERROR(GETPIVOTDATA("Jag får veta vad man kan göra efter studenten ",pivot!$A$332,"År",2021),)</f>
        <v>94</v>
      </c>
      <c r="K410" s="76">
        <f>IFERROR(GETPIVOTDATA("Jag får veta vad man kan göra efter studenten ",pivot!$A$332,"År",2022),)</f>
        <v>99</v>
      </c>
      <c r="L410" s="158">
        <f>IFERROR(GETPIVOTDATA("Jag får veta vad man kan göra efter studenten ",pivot!$A$332,"År",2023),)</f>
        <v>89</v>
      </c>
      <c r="M410" s="80">
        <v>89</v>
      </c>
      <c r="N410" s="8"/>
      <c r="O410" s="8"/>
      <c r="P410" s="51"/>
      <c r="Q410" s="51"/>
      <c r="R410" s="51"/>
      <c r="S410" s="8"/>
      <c r="T410" s="8"/>
      <c r="U410" s="8"/>
      <c r="V410" s="8"/>
      <c r="W410" s="8"/>
      <c r="X410" s="8"/>
      <c r="Y410" s="8"/>
    </row>
    <row r="411" spans="2:26" ht="14.5" x14ac:dyDescent="0.35">
      <c r="B411" s="8"/>
      <c r="C411" s="8"/>
      <c r="D411" s="51"/>
      <c r="E411" s="51"/>
      <c r="F411" s="8"/>
      <c r="G411" s="8"/>
      <c r="H411" s="8"/>
      <c r="I411" s="8"/>
      <c r="J411" s="8"/>
      <c r="K411" s="65"/>
      <c r="L411" s="8"/>
      <c r="M411" s="153"/>
      <c r="N411" s="8"/>
      <c r="O411" s="8"/>
      <c r="P411" s="51"/>
      <c r="Q411" s="51"/>
      <c r="R411" s="51"/>
      <c r="S411" s="8"/>
      <c r="T411" s="8"/>
      <c r="U411" s="8"/>
      <c r="V411" s="8"/>
      <c r="W411" s="8"/>
      <c r="X411" s="8"/>
      <c r="Y411" s="8"/>
    </row>
    <row r="412" spans="2:26" ht="14.5" x14ac:dyDescent="0.35">
      <c r="B412" s="8"/>
      <c r="C412" s="8"/>
      <c r="D412" s="51"/>
      <c r="E412" s="51"/>
      <c r="F412" s="8"/>
      <c r="G412" s="8"/>
      <c r="H412" s="8"/>
      <c r="I412" s="8"/>
      <c r="J412" s="8"/>
      <c r="K412" s="65"/>
      <c r="L412" s="8"/>
      <c r="M412" s="153"/>
      <c r="N412" s="8"/>
      <c r="O412" s="8"/>
      <c r="P412" s="51"/>
      <c r="Q412" s="51"/>
      <c r="R412" s="51"/>
      <c r="S412" s="8"/>
      <c r="T412" s="8"/>
      <c r="U412" s="8"/>
      <c r="V412" s="8"/>
      <c r="W412" s="8"/>
      <c r="X412" s="8"/>
      <c r="Y412" s="8"/>
    </row>
    <row r="413" spans="2:26" ht="15.5" x14ac:dyDescent="0.35">
      <c r="B413" s="124" t="s">
        <v>29</v>
      </c>
      <c r="C413" s="8"/>
      <c r="D413" s="51"/>
      <c r="E413" s="51"/>
      <c r="F413" s="8"/>
      <c r="G413" s="8"/>
      <c r="H413" s="8"/>
      <c r="I413" s="8"/>
      <c r="J413" s="8"/>
      <c r="K413" s="65"/>
      <c r="L413" s="8"/>
      <c r="M413" s="153"/>
      <c r="N413" s="8"/>
      <c r="O413" s="8"/>
      <c r="P413" s="51"/>
      <c r="Q413" s="51"/>
      <c r="R413" s="51"/>
      <c r="S413" s="8"/>
      <c r="T413" s="8"/>
      <c r="U413" s="8"/>
      <c r="V413" s="8"/>
      <c r="W413" s="8"/>
      <c r="X413" s="8"/>
      <c r="Y413" s="8"/>
    </row>
    <row r="414" spans="2:26" ht="14.5" x14ac:dyDescent="0.35">
      <c r="B414" s="8"/>
      <c r="C414" s="49"/>
      <c r="D414" s="50"/>
      <c r="E414" s="50"/>
      <c r="F414" s="50"/>
      <c r="G414" s="50"/>
      <c r="I414" s="151"/>
      <c r="J414" s="151"/>
      <c r="K414" s="15"/>
      <c r="L414" s="150" t="str">
        <f>$G$7</f>
        <v>(Alla)</v>
      </c>
      <c r="M414" s="177" t="s">
        <v>6</v>
      </c>
      <c r="N414" s="8"/>
      <c r="O414" s="8"/>
      <c r="P414" s="51"/>
      <c r="Q414" s="51"/>
      <c r="R414" s="51"/>
      <c r="S414" s="8"/>
      <c r="T414" s="8"/>
      <c r="U414" s="8"/>
      <c r="V414" s="8"/>
      <c r="W414" s="8"/>
      <c r="X414" s="8"/>
      <c r="Y414" s="8"/>
    </row>
    <row r="415" spans="2:26" ht="14.5" x14ac:dyDescent="0.35">
      <c r="C415" s="18"/>
      <c r="D415" s="18"/>
      <c r="E415" s="18"/>
      <c r="F415" s="18"/>
      <c r="G415" s="18"/>
      <c r="H415" s="18">
        <v>2019</v>
      </c>
      <c r="I415" s="18">
        <v>2020</v>
      </c>
      <c r="J415" s="18">
        <v>2021</v>
      </c>
      <c r="K415" s="9">
        <v>2022</v>
      </c>
      <c r="L415" s="155">
        <v>2023</v>
      </c>
      <c r="M415" s="30">
        <v>2023</v>
      </c>
      <c r="N415" s="40"/>
      <c r="O415" s="8"/>
      <c r="P415" s="8"/>
      <c r="Q415" s="51"/>
      <c r="R415" s="51"/>
      <c r="S415" s="51"/>
      <c r="T415" s="8"/>
      <c r="U415" s="8"/>
      <c r="V415" s="8"/>
      <c r="W415" s="8"/>
      <c r="X415" s="8"/>
      <c r="Y415" s="8"/>
      <c r="Z415" s="8"/>
    </row>
    <row r="416" spans="2:26" ht="14.5" x14ac:dyDescent="0.35">
      <c r="B416" s="71" t="s">
        <v>46</v>
      </c>
      <c r="C416" s="72"/>
      <c r="D416" s="72"/>
      <c r="E416" s="72"/>
      <c r="F416" s="72"/>
      <c r="G416" s="72"/>
      <c r="H416" s="72">
        <f>IFERROR(IF(H$423&lt;7,,((GETPIVOTDATA("F34",pivot!$H$96,"År",2019,"F34",1)))),)</f>
        <v>2.5000000000000001E-2</v>
      </c>
      <c r="I416" s="72">
        <f>IFERROR(IF(I$423&lt;7,,((GETPIVOTDATA("F34",pivot!$H$96,"År",2020,"F34",1)))),)</f>
        <v>5.2083333333333336E-2</v>
      </c>
      <c r="J416" s="72">
        <f>IFERROR(IF(J$423&lt;7,,((GETPIVOTDATA("F34",pivot!$H$96,"År",2021,"F34",1)))),)</f>
        <v>4.2105263157894736E-2</v>
      </c>
      <c r="K416" s="73">
        <f>IFERROR(IF(K$423&lt;7,,((GETPIVOTDATA("F34",pivot!$H$96,"År",2022,"F34",1)))),)</f>
        <v>2.0618556701030927E-2</v>
      </c>
      <c r="L416" s="89">
        <f>IFERROR(IF(L$423&lt;7,,((GETPIVOTDATA("F34",pivot!$H$96,"År",2023,"F34",1)))),)</f>
        <v>4.5454545454545456E-2</v>
      </c>
      <c r="M416" s="72">
        <v>4.5454545454545456E-2</v>
      </c>
      <c r="N416" s="8"/>
      <c r="O416" s="64"/>
      <c r="P416" s="8"/>
      <c r="Q416" s="51"/>
      <c r="R416" s="51"/>
      <c r="S416" s="51"/>
      <c r="T416" s="8"/>
      <c r="U416" s="8"/>
      <c r="V416" s="8"/>
      <c r="W416" s="8"/>
      <c r="X416" s="8"/>
      <c r="Y416" s="8"/>
      <c r="Z416" s="8"/>
    </row>
    <row r="417" spans="2:26" ht="14.5" x14ac:dyDescent="0.35">
      <c r="B417" s="74">
        <v>2</v>
      </c>
      <c r="C417" s="72"/>
      <c r="D417" s="72"/>
      <c r="E417" s="72"/>
      <c r="F417" s="72"/>
      <c r="G417" s="72"/>
      <c r="H417" s="72">
        <f>IFERROR(IF(H$423&lt;7,,((GETPIVOTDATA("F34",pivot!$H$96,"År",2019,"F34",2)))),)</f>
        <v>7.4999999999999997E-2</v>
      </c>
      <c r="I417" s="72">
        <f>IFERROR(IF(I$423&lt;7,,((GETPIVOTDATA("F34",pivot!$H$96,"År",2020,"F34",2)))),)</f>
        <v>3.125E-2</v>
      </c>
      <c r="J417" s="72">
        <f>IFERROR(IF(J$423&lt;7,,((GETPIVOTDATA("F34",pivot!$H$96,"År",2021,"F34",2)))),)</f>
        <v>4.2105263157894736E-2</v>
      </c>
      <c r="K417" s="73">
        <f>IFERROR(IF(K$423&lt;7,,((GETPIVOTDATA("F34",pivot!$H$96,"År",2022,"F34",2)))),)</f>
        <v>3.0927835051546393E-2</v>
      </c>
      <c r="L417" s="89">
        <f>IFERROR(IF(L$423&lt;7,,((GETPIVOTDATA("F34",pivot!$H$96,"År",2023,"F34",2)))),)</f>
        <v>2.2727272727272728E-2</v>
      </c>
      <c r="M417" s="72">
        <v>2.2727272727272728E-2</v>
      </c>
      <c r="N417" s="8"/>
      <c r="O417" s="8"/>
      <c r="P417" s="8"/>
      <c r="Q417" s="51"/>
      <c r="R417" s="51"/>
      <c r="S417" s="51"/>
      <c r="T417" s="8"/>
      <c r="U417" s="8"/>
      <c r="V417" s="8"/>
      <c r="W417" s="8"/>
      <c r="X417" s="8"/>
      <c r="Y417" s="8"/>
      <c r="Z417" s="8"/>
    </row>
    <row r="418" spans="2:26" ht="14.5" x14ac:dyDescent="0.35">
      <c r="B418" s="74">
        <v>3</v>
      </c>
      <c r="C418" s="72"/>
      <c r="D418" s="72"/>
      <c r="E418" s="72"/>
      <c r="F418" s="72"/>
      <c r="G418" s="72"/>
      <c r="H418" s="72">
        <f>IFERROR(IF(H$423&lt;7,,((GETPIVOTDATA("F34",pivot!$H$96,"År",2019,"F34",3)))),)</f>
        <v>0.13750000000000001</v>
      </c>
      <c r="I418" s="72">
        <f>IFERROR(IF(I$423&lt;7,,((GETPIVOTDATA("F34",pivot!$H$96,"År",2020,"F34",3)))),)</f>
        <v>0.21875</v>
      </c>
      <c r="J418" s="72">
        <f>IFERROR(IF(J$423&lt;7,,((GETPIVOTDATA("F34",pivot!$H$96,"År",2021,"F34",3)))),)</f>
        <v>0.24210526315789474</v>
      </c>
      <c r="K418" s="73">
        <f>IFERROR(IF(K$423&lt;7,,((GETPIVOTDATA("F34",pivot!$H$96,"År",2022,"F34",3)))),)</f>
        <v>0.16494845360824742</v>
      </c>
      <c r="L418" s="89">
        <f>IFERROR(IF(L$423&lt;7,,((GETPIVOTDATA("F34",pivot!$H$96,"År",2023,"F34",3)))),)</f>
        <v>0.25</v>
      </c>
      <c r="M418" s="72">
        <v>0.25</v>
      </c>
      <c r="N418" s="8"/>
      <c r="O418" s="8"/>
      <c r="P418" s="8"/>
      <c r="Q418" s="51"/>
      <c r="R418" s="51"/>
      <c r="S418" s="51"/>
      <c r="T418" s="8"/>
      <c r="U418" s="8"/>
      <c r="V418" s="8"/>
      <c r="W418" s="8"/>
      <c r="X418" s="8"/>
      <c r="Y418" s="8"/>
      <c r="Z418" s="8"/>
    </row>
    <row r="419" spans="2:26" ht="14.5" x14ac:dyDescent="0.35">
      <c r="B419" s="74" t="s">
        <v>47</v>
      </c>
      <c r="C419" s="72"/>
      <c r="D419" s="72"/>
      <c r="E419" s="72"/>
      <c r="F419" s="72"/>
      <c r="G419" s="72"/>
      <c r="H419" s="72">
        <f>IFERROR(IF(H$423&lt;7,,((GETPIVOTDATA("F34",pivot!$H$96,"År",2019,"F34",4)))),)</f>
        <v>0.75</v>
      </c>
      <c r="I419" s="72">
        <f>IFERROR(IF(I$423&lt;7,,((GETPIVOTDATA("F34",pivot!$H$96,"År",2020,"F34",4)))),)</f>
        <v>0.67708333333333337</v>
      </c>
      <c r="J419" s="72">
        <f>IFERROR(IF(J$423&lt;7,,((GETPIVOTDATA("F34",pivot!$H$96,"År",2021,"F34",4)))),)</f>
        <v>0.63157894736842102</v>
      </c>
      <c r="K419" s="73">
        <f>IFERROR(IF(K$423&lt;7,,((GETPIVOTDATA("F34",pivot!$H$96,"År",2022,"F34",4)))),)</f>
        <v>0.73195876288659789</v>
      </c>
      <c r="L419" s="89">
        <f>IFERROR(IF(L$423&lt;7,,((GETPIVOTDATA("F34",pivot!$H$96,"År",2023,"F34",4)))),)</f>
        <v>0.625</v>
      </c>
      <c r="M419" s="72">
        <v>0.625</v>
      </c>
      <c r="N419" s="8"/>
      <c r="O419" s="8"/>
      <c r="P419" s="8"/>
      <c r="Q419" s="51"/>
      <c r="R419" s="51"/>
      <c r="S419" s="51"/>
      <c r="T419" s="8"/>
      <c r="U419" s="8"/>
      <c r="V419" s="8"/>
      <c r="W419" s="8"/>
      <c r="X419" s="8"/>
      <c r="Y419" s="8"/>
      <c r="Z419" s="8"/>
    </row>
    <row r="420" spans="2:26" ht="14.5" x14ac:dyDescent="0.35">
      <c r="B420" s="74" t="s">
        <v>2</v>
      </c>
      <c r="C420" s="72"/>
      <c r="D420" s="72"/>
      <c r="E420" s="72"/>
      <c r="F420" s="72"/>
      <c r="G420" s="72"/>
      <c r="H420" s="72">
        <f>IFERROR(IF(H$423&lt;7,,((GETPIVOTDATA("F34",pivot!$H$96,"År",2019,"F34",5)))),)</f>
        <v>1.2500000000000001E-2</v>
      </c>
      <c r="I420" s="72">
        <f>IFERROR(IF(I$423&lt;7,,((GETPIVOTDATA("F34",pivot!$H$96,"År",2020,"F34",5)))),)</f>
        <v>2.0833333333333332E-2</v>
      </c>
      <c r="J420" s="72">
        <f>IFERROR(IF(J$423&lt;7,,((GETPIVOTDATA("F34",pivot!$H$96,"År",2021,"F34",5)))),)</f>
        <v>4.2105263157894736E-2</v>
      </c>
      <c r="K420" s="73">
        <f>IFERROR(IF(K$423&lt;7,,((GETPIVOTDATA("F34",pivot!$H$96,"År",2022,"F34",5)))),)</f>
        <v>5.1546391752577317E-2</v>
      </c>
      <c r="L420" s="89">
        <f>IFERROR(IF(L$423&lt;7,,((GETPIVOTDATA("F34",pivot!$H$96,"År",2023,"F34",5)))),)</f>
        <v>5.6818181818181816E-2</v>
      </c>
      <c r="M420" s="72">
        <v>5.6818181818181816E-2</v>
      </c>
      <c r="N420" s="8"/>
      <c r="O420" s="8"/>
      <c r="P420" s="8"/>
      <c r="Q420" s="51"/>
      <c r="R420" s="51"/>
      <c r="S420" s="51"/>
      <c r="T420" s="8"/>
      <c r="U420" s="8"/>
      <c r="V420" s="8"/>
      <c r="W420" s="8"/>
      <c r="X420" s="8"/>
      <c r="Y420" s="8"/>
      <c r="Z420" s="8"/>
    </row>
    <row r="421" spans="2:26" ht="14.5" x14ac:dyDescent="0.35">
      <c r="B421" s="71" t="s">
        <v>6</v>
      </c>
      <c r="C421" s="72"/>
      <c r="D421" s="72"/>
      <c r="E421" s="72"/>
      <c r="F421" s="72"/>
      <c r="G421" s="72"/>
      <c r="H421" s="72">
        <f t="shared" ref="H421:L421" si="6">IFERROR(SUM(H416:H420),"-")</f>
        <v>1</v>
      </c>
      <c r="I421" s="72">
        <f t="shared" si="6"/>
        <v>1</v>
      </c>
      <c r="J421" s="72">
        <f t="shared" si="6"/>
        <v>1</v>
      </c>
      <c r="K421" s="73">
        <f t="shared" si="6"/>
        <v>1</v>
      </c>
      <c r="L421" s="89">
        <f t="shared" si="6"/>
        <v>0.99999999999999989</v>
      </c>
      <c r="M421" s="72">
        <v>0.99999999999999989</v>
      </c>
      <c r="N421" s="8"/>
      <c r="O421" s="8"/>
      <c r="P421" s="8"/>
      <c r="Q421" s="51"/>
      <c r="R421" s="51"/>
      <c r="S421" s="51"/>
      <c r="T421" s="8"/>
      <c r="U421" s="8"/>
      <c r="V421" s="8"/>
      <c r="W421" s="8"/>
      <c r="X421" s="8"/>
      <c r="Y421" s="8"/>
      <c r="Z421" s="8"/>
    </row>
    <row r="422" spans="2:26" ht="14.5" x14ac:dyDescent="0.35">
      <c r="B422" s="103" t="s">
        <v>7</v>
      </c>
      <c r="C422" s="104"/>
      <c r="D422" s="104"/>
      <c r="E422" s="104"/>
      <c r="F422" s="104"/>
      <c r="G422" s="104"/>
      <c r="H422" s="105">
        <f>IFERROR(IF(H$423&lt;7,,((GETPIVOTDATA("F34",pivot!$O$96,"År",2019)))),)</f>
        <v>3.6329113924050631</v>
      </c>
      <c r="I422" s="105">
        <f>IFERROR(IF(I$423&lt;7,,((GETPIVOTDATA("F34",pivot!$O$96,"År",2020)))),)</f>
        <v>3.5531914893617023</v>
      </c>
      <c r="J422" s="105">
        <f>IFERROR(IF(J$423&lt;7,,((GETPIVOTDATA("F34",pivot!$O$96,"År",2021)))),)</f>
        <v>3.5274725274725274</v>
      </c>
      <c r="K422" s="165">
        <f>IFERROR(IF(K$423&lt;7,,((GETPIVOTDATA("F34",pivot!$O$96,"År",2022)))),)</f>
        <v>3.6956521739130435</v>
      </c>
      <c r="L422" s="148">
        <f>IFERROR(IF(L$423&lt;7,,((GETPIVOTDATA("F34",pivot!$O$96,"År",2023)))),)</f>
        <v>3.5421686746987953</v>
      </c>
      <c r="M422" s="104">
        <v>3.5421686746987953</v>
      </c>
      <c r="N422" s="8"/>
      <c r="O422" s="8"/>
      <c r="P422" s="8"/>
      <c r="Q422" s="51"/>
      <c r="R422" s="51"/>
      <c r="S422" s="51"/>
      <c r="T422" s="8"/>
      <c r="U422" s="8"/>
      <c r="V422" s="8"/>
      <c r="W422" s="8"/>
      <c r="X422" s="8"/>
      <c r="Y422" s="8"/>
      <c r="Z422" s="8"/>
    </row>
    <row r="423" spans="2:26" ht="14.5" x14ac:dyDescent="0.35">
      <c r="B423" s="71" t="s">
        <v>8</v>
      </c>
      <c r="C423" s="75"/>
      <c r="D423" s="75"/>
      <c r="E423" s="75"/>
      <c r="F423" s="75"/>
      <c r="G423" s="80"/>
      <c r="H423" s="80">
        <f>IFERROR(GETPIVOTDATA("F34",pivot!$A$96,"År",2019),)</f>
        <v>80</v>
      </c>
      <c r="I423" s="80">
        <f>IFERROR(GETPIVOTDATA("F34",pivot!$A$96,"År",2020),)</f>
        <v>96</v>
      </c>
      <c r="J423" s="80">
        <f>IFERROR(GETPIVOTDATA("F34",pivot!$A$96,"År",2021),)</f>
        <v>95</v>
      </c>
      <c r="K423" s="76">
        <f>IFERROR(GETPIVOTDATA("F34",pivot!$A$96,"År",2022),)</f>
        <v>97</v>
      </c>
      <c r="L423" s="158">
        <f>IFERROR(GETPIVOTDATA("F34",pivot!$A$96,"År",2023),)</f>
        <v>88</v>
      </c>
      <c r="M423" s="80">
        <v>88</v>
      </c>
      <c r="N423" s="8"/>
      <c r="O423" s="8"/>
      <c r="P423" s="8"/>
      <c r="Q423" s="51"/>
      <c r="R423" s="51"/>
      <c r="S423" s="51"/>
      <c r="T423" s="8"/>
      <c r="U423" s="8"/>
      <c r="V423" s="8"/>
      <c r="W423" s="8"/>
      <c r="X423" s="8"/>
      <c r="Y423" s="8"/>
      <c r="Z423" s="8"/>
    </row>
    <row r="424" spans="2:26" ht="14.5" x14ac:dyDescent="0.35">
      <c r="C424" s="62"/>
      <c r="D424" s="62"/>
      <c r="E424" s="62"/>
      <c r="F424" s="62"/>
      <c r="G424" s="62"/>
      <c r="H424" s="62"/>
      <c r="I424" s="62"/>
      <c r="J424" s="62"/>
      <c r="K424" s="62"/>
      <c r="L424" s="62"/>
      <c r="M424" s="62"/>
      <c r="N424" s="8"/>
      <c r="O424" s="8"/>
      <c r="P424" s="8"/>
      <c r="Q424" s="51"/>
      <c r="R424" s="51"/>
      <c r="S424" s="51"/>
      <c r="T424" s="8"/>
      <c r="U424" s="8"/>
      <c r="V424" s="8"/>
      <c r="W424" s="8"/>
      <c r="X424" s="8"/>
      <c r="Y424" s="8"/>
      <c r="Z424" s="8"/>
    </row>
    <row r="425" spans="2:26" ht="14.5" x14ac:dyDescent="0.35">
      <c r="B425" s="8"/>
      <c r="C425" s="8"/>
      <c r="D425" s="51"/>
      <c r="E425" s="51"/>
      <c r="F425" s="8"/>
      <c r="G425" s="8"/>
      <c r="H425" s="8"/>
      <c r="I425" s="8"/>
      <c r="J425" s="8"/>
      <c r="K425" s="8"/>
      <c r="L425" s="8"/>
      <c r="M425" s="91"/>
      <c r="N425" s="8"/>
      <c r="O425" s="8"/>
      <c r="P425" s="8"/>
      <c r="Q425" s="51"/>
      <c r="R425" s="51"/>
      <c r="S425" s="51"/>
      <c r="T425" s="8"/>
      <c r="U425" s="8"/>
      <c r="V425" s="8"/>
      <c r="W425" s="8"/>
      <c r="X425" s="8"/>
      <c r="Y425" s="8"/>
      <c r="Z425" s="8"/>
    </row>
    <row r="426" spans="2:26" ht="15.5" x14ac:dyDescent="0.35">
      <c r="B426" s="124" t="s">
        <v>44</v>
      </c>
      <c r="C426" s="8"/>
      <c r="D426" s="51"/>
      <c r="E426" s="51"/>
      <c r="F426" s="8"/>
      <c r="G426" s="8"/>
      <c r="H426" s="8"/>
      <c r="I426" s="8"/>
      <c r="J426" s="65"/>
      <c r="K426" s="65"/>
      <c r="L426" s="65"/>
      <c r="M426" s="91"/>
      <c r="N426" s="8"/>
      <c r="O426" s="8"/>
      <c r="P426" s="8"/>
      <c r="Q426" s="51"/>
      <c r="R426" s="51"/>
      <c r="S426" s="51"/>
      <c r="T426" s="8"/>
      <c r="U426" s="8"/>
      <c r="V426" s="8"/>
      <c r="W426" s="8"/>
      <c r="X426" s="8"/>
      <c r="Y426" s="8"/>
      <c r="Z426" s="8"/>
    </row>
    <row r="427" spans="2:26" ht="14.5" x14ac:dyDescent="0.35">
      <c r="B427" s="8"/>
      <c r="C427" s="49"/>
      <c r="D427" s="50"/>
      <c r="E427" s="50"/>
      <c r="F427" s="50"/>
      <c r="G427" s="50"/>
      <c r="I427" s="151"/>
      <c r="J427" s="151"/>
      <c r="K427" s="151"/>
      <c r="L427" s="150" t="str">
        <f>$G$7</f>
        <v>(Alla)</v>
      </c>
      <c r="M427" s="177" t="s">
        <v>6</v>
      </c>
      <c r="N427" s="8"/>
      <c r="O427" s="8"/>
      <c r="P427" s="8"/>
      <c r="Q427" s="51"/>
      <c r="R427" s="51"/>
      <c r="S427" s="51"/>
      <c r="T427" s="8"/>
      <c r="U427" s="8"/>
      <c r="V427" s="8"/>
      <c r="W427" s="8"/>
      <c r="X427" s="8"/>
      <c r="Y427" s="8"/>
      <c r="Z427" s="8"/>
    </row>
    <row r="428" spans="2:26" ht="14.5" x14ac:dyDescent="0.35">
      <c r="C428" s="18"/>
      <c r="D428" s="18"/>
      <c r="E428" s="18"/>
      <c r="F428" s="18"/>
      <c r="G428" s="18"/>
      <c r="H428" s="18">
        <v>2019</v>
      </c>
      <c r="I428" s="18">
        <v>2020</v>
      </c>
      <c r="J428" s="18">
        <v>2021</v>
      </c>
      <c r="K428" s="9">
        <v>2022</v>
      </c>
      <c r="L428" s="155">
        <v>2023</v>
      </c>
      <c r="M428" s="30">
        <v>2023</v>
      </c>
      <c r="N428" s="40"/>
      <c r="O428" s="8"/>
      <c r="P428" s="8"/>
      <c r="Q428" s="51"/>
      <c r="R428" s="51"/>
      <c r="S428" s="51"/>
      <c r="T428" s="8"/>
      <c r="U428" s="8"/>
      <c r="V428" s="8"/>
      <c r="W428" s="8"/>
      <c r="X428" s="8"/>
      <c r="Y428" s="8"/>
      <c r="Z428" s="8"/>
    </row>
    <row r="429" spans="2:26" ht="14.5" x14ac:dyDescent="0.35">
      <c r="B429" s="71" t="s">
        <v>46</v>
      </c>
      <c r="C429" s="72"/>
      <c r="D429" s="72"/>
      <c r="E429" s="72"/>
      <c r="F429" s="72"/>
      <c r="G429" s="72"/>
      <c r="H429" s="72">
        <f>IFERROR(IF(H$436&lt;7,,((GETPIVOTDATA("F35",pivot!$H$108,"År",2019,"F35",1)))),)</f>
        <v>1.3513513513513514E-2</v>
      </c>
      <c r="I429" s="72">
        <f>IFERROR(IF(I$436&lt;7,,((GETPIVOTDATA("F35",pivot!$H$108,"År",2020,"F35",1)))),)</f>
        <v>8.3333333333333329E-2</v>
      </c>
      <c r="J429" s="72">
        <f>IFERROR(IF(J$436&lt;7,,((GETPIVOTDATA("F35",pivot!$H$108,"År",2021,"F35",1)))),)</f>
        <v>9.7826086956521743E-2</v>
      </c>
      <c r="K429" s="73">
        <f>IFERROR(IF(K$436&lt;7,,((GETPIVOTDATA("F35",pivot!$H$108,"År",2022,"F35",1)))),)</f>
        <v>8.247422680412371E-2</v>
      </c>
      <c r="L429" s="89">
        <f>IFERROR(IF(L$436&lt;7,,((GETPIVOTDATA("F35",pivot!$H$108,"År",2023,"F35",1)))),)</f>
        <v>7.9545454545454544E-2</v>
      </c>
      <c r="M429" s="72">
        <v>7.9545454545454544E-2</v>
      </c>
      <c r="N429" s="8"/>
      <c r="O429" s="8"/>
      <c r="P429" s="8"/>
      <c r="Q429" s="51"/>
      <c r="R429" s="51"/>
      <c r="S429" s="51"/>
      <c r="T429" s="8"/>
      <c r="U429" s="8"/>
      <c r="V429" s="8"/>
      <c r="W429" s="8"/>
      <c r="X429" s="8"/>
      <c r="Y429" s="8"/>
      <c r="Z429" s="8"/>
    </row>
    <row r="430" spans="2:26" ht="14.5" x14ac:dyDescent="0.35">
      <c r="B430" s="74">
        <v>2</v>
      </c>
      <c r="C430" s="72"/>
      <c r="D430" s="72"/>
      <c r="E430" s="72"/>
      <c r="F430" s="72"/>
      <c r="G430" s="72"/>
      <c r="H430" s="72">
        <f>IFERROR(IF(H$436&lt;7,,((GETPIVOTDATA("F35",pivot!$H$108,"År",2019,"F35",2)))),)</f>
        <v>6.7567567567567571E-2</v>
      </c>
      <c r="I430" s="72">
        <f>IFERROR(IF(I$436&lt;7,,((GETPIVOTDATA("F35",pivot!$H$108,"År",2020,"F35",2)))),)</f>
        <v>4.1666666666666664E-2</v>
      </c>
      <c r="J430" s="72">
        <f>IFERROR(IF(J$436&lt;7,,((GETPIVOTDATA("F35",pivot!$H$108,"År",2021,"F35",2)))),)</f>
        <v>3.2608695652173912E-2</v>
      </c>
      <c r="K430" s="73">
        <f>IFERROR(IF(K$436&lt;7,,((GETPIVOTDATA("F35",pivot!$H$108,"År",2022,"F35",2)))),)</f>
        <v>5.1546391752577317E-2</v>
      </c>
      <c r="L430" s="89">
        <f>IFERROR(IF(L$436&lt;7,,((GETPIVOTDATA("F35",pivot!$H$108,"År",2023,"F35",2)))),)</f>
        <v>6.8181818181818177E-2</v>
      </c>
      <c r="M430" s="72">
        <v>6.8181818181818177E-2</v>
      </c>
      <c r="N430" s="8"/>
      <c r="O430" s="8"/>
      <c r="P430" s="8"/>
      <c r="Q430" s="51"/>
      <c r="R430" s="51"/>
      <c r="S430" s="51"/>
      <c r="T430" s="8"/>
      <c r="U430" s="8"/>
      <c r="V430" s="8"/>
      <c r="W430" s="8"/>
      <c r="X430" s="8"/>
      <c r="Y430" s="8"/>
      <c r="Z430" s="8"/>
    </row>
    <row r="431" spans="2:26" ht="14.5" x14ac:dyDescent="0.35">
      <c r="B431" s="74">
        <v>3</v>
      </c>
      <c r="C431" s="72"/>
      <c r="D431" s="72"/>
      <c r="E431" s="72"/>
      <c r="F431" s="72"/>
      <c r="G431" s="72"/>
      <c r="H431" s="72">
        <f>IFERROR(IF(H$436&lt;7,,((GETPIVOTDATA("F35",pivot!$H$108,"År",2019,"F35",3)))),)</f>
        <v>0.1891891891891892</v>
      </c>
      <c r="I431" s="72">
        <f>IFERROR(IF(I$436&lt;7,,((GETPIVOTDATA("F35",pivot!$H$108,"År",2020,"F35",3)))),)</f>
        <v>0.25</v>
      </c>
      <c r="J431" s="72">
        <f>IFERROR(IF(J$436&lt;7,,((GETPIVOTDATA("F35",pivot!$H$108,"År",2021,"F35",3)))),)</f>
        <v>0.20652173913043478</v>
      </c>
      <c r="K431" s="73">
        <f>IFERROR(IF(K$436&lt;7,,((GETPIVOTDATA("F35",pivot!$H$108,"År",2022,"F35",3)))),)</f>
        <v>0.17525773195876287</v>
      </c>
      <c r="L431" s="89">
        <f>IFERROR(IF(L$436&lt;7,,((GETPIVOTDATA("F35",pivot!$H$108,"År",2023,"F35",3)))),)</f>
        <v>0.20454545454545456</v>
      </c>
      <c r="M431" s="72">
        <v>0.20454545454545456</v>
      </c>
      <c r="N431" s="8"/>
      <c r="O431" s="8"/>
      <c r="P431" s="8"/>
      <c r="Q431" s="51"/>
      <c r="R431" s="51"/>
      <c r="S431" s="51"/>
      <c r="T431" s="8"/>
      <c r="U431" s="8"/>
      <c r="V431" s="8"/>
      <c r="W431" s="8"/>
      <c r="X431" s="8"/>
      <c r="Y431" s="8"/>
      <c r="Z431" s="8"/>
    </row>
    <row r="432" spans="2:26" ht="14.5" x14ac:dyDescent="0.35">
      <c r="B432" s="74" t="s">
        <v>47</v>
      </c>
      <c r="C432" s="72"/>
      <c r="D432" s="72"/>
      <c r="E432" s="72"/>
      <c r="F432" s="72"/>
      <c r="G432" s="72"/>
      <c r="H432" s="72">
        <f>IFERROR(IF(H$436&lt;7,,((GETPIVOTDATA("F35",pivot!$H$108,"År",2019,"F35",4)))),)</f>
        <v>0.64864864864864868</v>
      </c>
      <c r="I432" s="72">
        <f>IFERROR(IF(I$436&lt;7,,((GETPIVOTDATA("F35",pivot!$H$108,"År",2020,"F35",4)))),)</f>
        <v>0.52083333333333337</v>
      </c>
      <c r="J432" s="72">
        <f>IFERROR(IF(J$436&lt;7,,((GETPIVOTDATA("F35",pivot!$H$108,"År",2021,"F35",4)))),)</f>
        <v>0.57608695652173914</v>
      </c>
      <c r="K432" s="73">
        <f>IFERROR(IF(K$436&lt;7,,((GETPIVOTDATA("F35",pivot!$H$108,"År",2022,"F35",4)))),)</f>
        <v>0.54639175257731953</v>
      </c>
      <c r="L432" s="89">
        <f>IFERROR(IF(L$436&lt;7,,((GETPIVOTDATA("F35",pivot!$H$108,"År",2023,"F35",4)))),)</f>
        <v>0.54545454545454541</v>
      </c>
      <c r="M432" s="72">
        <v>0.54545454545454541</v>
      </c>
      <c r="N432" s="8"/>
      <c r="O432" s="8"/>
      <c r="P432" s="8"/>
      <c r="Q432" s="51"/>
      <c r="R432" s="51"/>
      <c r="S432" s="51"/>
      <c r="T432" s="8"/>
      <c r="U432" s="8"/>
      <c r="V432" s="8"/>
      <c r="W432" s="8"/>
      <c r="X432" s="8"/>
      <c r="Y432" s="8"/>
      <c r="Z432" s="8"/>
    </row>
    <row r="433" spans="2:26" ht="14.5" x14ac:dyDescent="0.35">
      <c r="B433" s="74" t="s">
        <v>2</v>
      </c>
      <c r="C433" s="72"/>
      <c r="D433" s="72"/>
      <c r="E433" s="72"/>
      <c r="F433" s="72"/>
      <c r="G433" s="72"/>
      <c r="H433" s="72">
        <f>IFERROR(IF(H$436&lt;7,,((GETPIVOTDATA("F35",pivot!$H$108,"År",2019,"F35",5)))),)</f>
        <v>8.1081081081081086E-2</v>
      </c>
      <c r="I433" s="72">
        <f>IFERROR(IF(I$436&lt;7,,((GETPIVOTDATA("F35",pivot!$H$108,"År",2020,"F35",5)))),)</f>
        <v>0.10416666666666667</v>
      </c>
      <c r="J433" s="72">
        <f>IFERROR(IF(J$436&lt;7,,((GETPIVOTDATA("F35",pivot!$H$108,"År",2021,"F35",5)))),)</f>
        <v>8.6956521739130432E-2</v>
      </c>
      <c r="K433" s="73">
        <f>IFERROR(IF(K$436&lt;7,,((GETPIVOTDATA("F35",pivot!$H$108,"År",2022,"F35",5)))),)</f>
        <v>0.14432989690721648</v>
      </c>
      <c r="L433" s="89">
        <f>IFERROR(IF(L$436&lt;7,,((GETPIVOTDATA("F35",pivot!$H$108,"År",2023,"F35",5)))),)</f>
        <v>0.10227272727272728</v>
      </c>
      <c r="M433" s="72">
        <v>0.10227272727272728</v>
      </c>
      <c r="N433" s="8"/>
      <c r="O433" s="8"/>
      <c r="P433" s="8"/>
      <c r="Q433" s="51"/>
      <c r="R433" s="51"/>
      <c r="S433" s="51"/>
      <c r="T433" s="8"/>
      <c r="U433" s="8"/>
      <c r="V433" s="8"/>
      <c r="W433" s="8"/>
      <c r="X433" s="8"/>
      <c r="Y433" s="8"/>
      <c r="Z433" s="8"/>
    </row>
    <row r="434" spans="2:26" ht="14.5" x14ac:dyDescent="0.35">
      <c r="B434" s="71" t="s">
        <v>6</v>
      </c>
      <c r="C434" s="72"/>
      <c r="D434" s="72"/>
      <c r="E434" s="72"/>
      <c r="F434" s="72"/>
      <c r="G434" s="72"/>
      <c r="H434" s="72">
        <f t="shared" ref="H434:L434" si="7">IFERROR(SUM(H429:H433),"-")</f>
        <v>1</v>
      </c>
      <c r="I434" s="72">
        <f t="shared" si="7"/>
        <v>1</v>
      </c>
      <c r="J434" s="72">
        <f t="shared" si="7"/>
        <v>1</v>
      </c>
      <c r="K434" s="73">
        <f t="shared" si="7"/>
        <v>1</v>
      </c>
      <c r="L434" s="89">
        <f t="shared" si="7"/>
        <v>1</v>
      </c>
      <c r="M434" s="72">
        <v>1</v>
      </c>
      <c r="N434" s="8"/>
      <c r="O434" s="8"/>
      <c r="P434" s="8"/>
      <c r="Q434" s="51"/>
      <c r="R434" s="51"/>
      <c r="S434" s="51"/>
      <c r="T434" s="8"/>
      <c r="U434" s="8"/>
      <c r="V434" s="8"/>
      <c r="W434" s="8"/>
      <c r="X434" s="8"/>
      <c r="Y434" s="8"/>
      <c r="Z434" s="8"/>
    </row>
    <row r="435" spans="2:26" ht="14.5" x14ac:dyDescent="0.35">
      <c r="B435" s="103" t="s">
        <v>7</v>
      </c>
      <c r="C435" s="104"/>
      <c r="D435" s="104"/>
      <c r="E435" s="104"/>
      <c r="F435" s="104"/>
      <c r="G435" s="104"/>
      <c r="H435" s="105">
        <f>IFERROR(IF(H$436&lt;7,,((GETPIVOTDATA("F35",pivot!$O$108,"År",2019)))),)</f>
        <v>3.6029411764705883</v>
      </c>
      <c r="I435" s="105">
        <f>IFERROR(IF(I$436&lt;7,,((GETPIVOTDATA("F35",pivot!$O$108,"År",2020)))),)</f>
        <v>3.3488372093023258</v>
      </c>
      <c r="J435" s="105">
        <f>IFERROR(IF(J$436&lt;7,,((GETPIVOTDATA("F35",pivot!$O$108,"År",2021)))),)</f>
        <v>3.3809523809523809</v>
      </c>
      <c r="K435" s="165">
        <f>IFERROR(IF(K$436&lt;7,,((GETPIVOTDATA("F35",pivot!$O$108,"År",2022)))),)</f>
        <v>3.3855421686746987</v>
      </c>
      <c r="L435" s="148">
        <f>IFERROR(IF(L$436&lt;7,,((GETPIVOTDATA("F35",pivot!$O$108,"År",2023)))),)</f>
        <v>3.3544303797468356</v>
      </c>
      <c r="M435" s="104">
        <v>3.3544303797468356</v>
      </c>
      <c r="N435" s="8"/>
      <c r="O435" s="8"/>
      <c r="P435" s="8"/>
      <c r="Q435" s="51"/>
      <c r="R435" s="51"/>
      <c r="S435" s="51"/>
      <c r="T435" s="8"/>
      <c r="U435" s="8"/>
      <c r="V435" s="8"/>
      <c r="W435" s="8"/>
      <c r="X435" s="8"/>
      <c r="Y435" s="8"/>
      <c r="Z435" s="8"/>
    </row>
    <row r="436" spans="2:26" ht="14.5" x14ac:dyDescent="0.35">
      <c r="B436" s="71" t="s">
        <v>8</v>
      </c>
      <c r="C436" s="75"/>
      <c r="D436" s="75"/>
      <c r="E436" s="75"/>
      <c r="F436" s="75"/>
      <c r="G436" s="80"/>
      <c r="H436" s="80">
        <f>IFERROR(GETPIVOTDATA("F35",pivot!$A$108,"År",2019),)</f>
        <v>74</v>
      </c>
      <c r="I436" s="80">
        <f>IFERROR(GETPIVOTDATA("F35",pivot!$A$108,"År",2020),)</f>
        <v>96</v>
      </c>
      <c r="J436" s="80">
        <f>IFERROR(GETPIVOTDATA("F35",pivot!$A$108,"År",2021),)</f>
        <v>92</v>
      </c>
      <c r="K436" s="76">
        <f>IFERROR(GETPIVOTDATA("F35",pivot!$A$108,"År",2022),)</f>
        <v>97</v>
      </c>
      <c r="L436" s="158">
        <f>IFERROR(GETPIVOTDATA("F35",pivot!$A$108,"År",2023),)</f>
        <v>88</v>
      </c>
      <c r="M436" s="80">
        <v>88</v>
      </c>
      <c r="N436" s="8"/>
      <c r="O436" s="8"/>
      <c r="P436" s="8"/>
      <c r="Q436" s="51"/>
      <c r="R436" s="51"/>
      <c r="S436" s="51"/>
      <c r="T436" s="8"/>
      <c r="U436" s="8"/>
      <c r="V436" s="8"/>
      <c r="W436" s="8"/>
      <c r="X436" s="8"/>
      <c r="Y436" s="8"/>
      <c r="Z436" s="8"/>
    </row>
    <row r="437" spans="2:26" ht="14.5" x14ac:dyDescent="0.35">
      <c r="B437" s="8"/>
      <c r="C437" s="8"/>
      <c r="D437" s="8"/>
      <c r="E437" s="8"/>
      <c r="F437" s="8"/>
      <c r="G437" s="8"/>
      <c r="H437" s="8"/>
      <c r="I437" s="8"/>
      <c r="J437" s="91"/>
      <c r="K437" s="91"/>
      <c r="L437" s="91"/>
      <c r="M437" s="8"/>
      <c r="N437" s="8"/>
      <c r="O437" s="8"/>
      <c r="P437" s="8"/>
      <c r="Q437" s="8"/>
      <c r="R437" s="8"/>
      <c r="S437" s="8"/>
      <c r="T437" s="8"/>
      <c r="U437" s="8"/>
      <c r="V437" s="8"/>
      <c r="W437" s="8"/>
      <c r="X437" s="8"/>
      <c r="Y437" s="8"/>
    </row>
    <row r="438" spans="2:26" ht="14.5" x14ac:dyDescent="0.35">
      <c r="B438" s="8"/>
      <c r="C438" s="8"/>
      <c r="D438" s="8"/>
      <c r="E438" s="8"/>
      <c r="F438" s="8"/>
      <c r="G438" s="8"/>
      <c r="H438" s="8"/>
      <c r="I438" s="8"/>
      <c r="J438" s="91"/>
      <c r="K438" s="91"/>
      <c r="L438" s="91"/>
      <c r="M438" s="8"/>
      <c r="N438" s="8"/>
      <c r="O438" s="8"/>
      <c r="P438" s="8"/>
      <c r="Q438" s="8"/>
      <c r="R438" s="8"/>
      <c r="S438" s="8"/>
      <c r="T438" s="8"/>
      <c r="U438" s="8"/>
      <c r="V438" s="8"/>
      <c r="W438" s="8"/>
      <c r="X438" s="8"/>
      <c r="Y438" s="8"/>
    </row>
    <row r="439" spans="2:26" ht="15.5" x14ac:dyDescent="0.35">
      <c r="B439" s="124" t="s">
        <v>147</v>
      </c>
      <c r="C439" s="8"/>
      <c r="D439" s="51"/>
      <c r="E439" s="51"/>
      <c r="F439" s="8"/>
      <c r="G439" s="8"/>
      <c r="H439" s="8"/>
      <c r="I439" s="8"/>
      <c r="J439" s="8"/>
      <c r="K439" s="8"/>
      <c r="L439" s="8"/>
      <c r="M439" s="91"/>
      <c r="N439" s="8"/>
      <c r="O439" s="8"/>
      <c r="P439" s="8"/>
      <c r="Q439" s="8"/>
      <c r="R439" s="8"/>
      <c r="S439" s="8"/>
      <c r="T439" s="8"/>
      <c r="U439" s="8"/>
      <c r="V439" s="8"/>
      <c r="W439" s="8"/>
      <c r="X439" s="8"/>
    </row>
    <row r="440" spans="2:26" ht="14.5" x14ac:dyDescent="0.35">
      <c r="B440" s="8"/>
      <c r="C440" s="49"/>
      <c r="D440" s="50"/>
      <c r="E440" s="50"/>
      <c r="F440" s="50"/>
      <c r="I440" s="108" t="str">
        <f>$G$7</f>
        <v>(Alla)</v>
      </c>
      <c r="J440" s="150" t="s">
        <v>6</v>
      </c>
      <c r="K440" s="15"/>
      <c r="L440" s="15"/>
      <c r="N440" s="8"/>
      <c r="O440" s="8"/>
      <c r="P440" s="8"/>
      <c r="Q440" s="8"/>
      <c r="R440" s="8"/>
      <c r="S440" s="8"/>
      <c r="T440" s="8"/>
      <c r="U440" s="8"/>
      <c r="V440" s="8"/>
      <c r="W440" s="8"/>
      <c r="X440" s="8"/>
    </row>
    <row r="441" spans="2:26" ht="14.5" x14ac:dyDescent="0.35">
      <c r="C441" s="18"/>
      <c r="D441" s="18"/>
      <c r="E441" s="18"/>
      <c r="F441" s="18"/>
      <c r="G441" s="9"/>
      <c r="H441" s="9">
        <v>2022</v>
      </c>
      <c r="I441" s="155">
        <v>2023</v>
      </c>
      <c r="J441" s="30">
        <v>2023</v>
      </c>
      <c r="K441" s="8"/>
      <c r="L441" s="8"/>
      <c r="M441" s="8"/>
      <c r="N441" s="8"/>
      <c r="O441" s="8"/>
      <c r="P441" s="8"/>
      <c r="Q441" s="8"/>
      <c r="R441" s="8"/>
      <c r="S441" s="8"/>
      <c r="T441" s="8"/>
      <c r="U441" s="8"/>
      <c r="V441" s="8"/>
    </row>
    <row r="442" spans="2:26" ht="14.5" x14ac:dyDescent="0.35">
      <c r="B442" s="71" t="s">
        <v>168</v>
      </c>
      <c r="C442" s="72"/>
      <c r="D442" s="72"/>
      <c r="E442" s="72"/>
      <c r="F442" s="72"/>
      <c r="G442" s="73"/>
      <c r="H442" s="73">
        <f>IFERROR(IF(L$436&lt;7,,((GETPIVOTDATA("Hur ofta brukar du vara med kompisar efter skolan och på helger",pivot!$I$344,"År",2022,"Hur ofta brukar du vara med kompisar efter skolan och på helger",1)))),)</f>
        <v>0.25531914893617019</v>
      </c>
      <c r="I442" s="89">
        <f>IFERROR(IF(L$436&lt;7,,((GETPIVOTDATA("Hur ofta brukar du vara med kompisar efter skolan och på helger",pivot!$I$344,"År",2023,"Hur ofta brukar du vara med kompisar efter skolan och på helger",1)))),)</f>
        <v>0.27710843373493976</v>
      </c>
      <c r="J442" s="72">
        <v>0.27710843373493976</v>
      </c>
      <c r="K442" s="8"/>
      <c r="L442" s="8"/>
      <c r="M442" s="8"/>
      <c r="N442" s="8"/>
      <c r="O442" s="8"/>
      <c r="P442" s="8"/>
      <c r="Q442" s="8"/>
      <c r="R442" s="8"/>
      <c r="S442" s="8"/>
      <c r="T442" s="8"/>
      <c r="U442" s="8"/>
      <c r="V442" s="8"/>
    </row>
    <row r="443" spans="2:26" ht="14.5" x14ac:dyDescent="0.35">
      <c r="B443" s="74">
        <v>2</v>
      </c>
      <c r="C443" s="72"/>
      <c r="D443" s="72"/>
      <c r="E443" s="72"/>
      <c r="F443" s="72"/>
      <c r="G443" s="73"/>
      <c r="H443" s="73">
        <f>IFERROR(IF(L$436&lt;7,,((GETPIVOTDATA("Hur ofta brukar du vara med kompisar efter skolan och på helger",pivot!$I$344,"År",2022,"Hur ofta brukar du vara med kompisar efter skolan och på helger",2)))),)</f>
        <v>0.2978723404255319</v>
      </c>
      <c r="I443" s="89">
        <f>IFERROR(IF(L$436&lt;7,,((GETPIVOTDATA("Hur ofta brukar du vara med kompisar efter skolan och på helger",pivot!$I$344,"År",2023,"Hur ofta brukar du vara med kompisar efter skolan och på helger",2)))),)</f>
        <v>0.25301204819277107</v>
      </c>
      <c r="J443" s="72">
        <v>0.25301204819277107</v>
      </c>
      <c r="K443" s="8"/>
      <c r="L443" s="8"/>
      <c r="M443" s="8"/>
      <c r="N443" s="8"/>
      <c r="O443" s="8"/>
      <c r="P443" s="8"/>
      <c r="Q443" s="8"/>
      <c r="R443" s="8"/>
      <c r="S443" s="8"/>
      <c r="T443" s="8"/>
      <c r="U443" s="8"/>
      <c r="V443" s="8"/>
    </row>
    <row r="444" spans="2:26" ht="14.5" x14ac:dyDescent="0.35">
      <c r="B444" s="74" t="s">
        <v>169</v>
      </c>
      <c r="C444" s="72"/>
      <c r="D444" s="72"/>
      <c r="E444" s="72"/>
      <c r="F444" s="72"/>
      <c r="G444" s="73"/>
      <c r="H444" s="73">
        <f>IFERROR(IF(L$436&lt;7,,((GETPIVOTDATA("Hur ofta brukar du vara med kompisar efter skolan och på helger",pivot!$I$344,"År",2022,"Hur ofta brukar du vara med kompisar efter skolan och på helger",3)))),)</f>
        <v>0.44680851063829785</v>
      </c>
      <c r="I444" s="89">
        <f>IFERROR(IF(L$436&lt;7,,((GETPIVOTDATA("Hur ofta brukar du vara med kompisar efter skolan och på helger",pivot!$I$344,"År",2023,"Hur ofta brukar du vara med kompisar efter skolan och på helger",3)))),)</f>
        <v>0.46987951807228917</v>
      </c>
      <c r="J444" s="72">
        <v>0.46987951807228917</v>
      </c>
      <c r="K444" s="8"/>
      <c r="L444" s="8"/>
      <c r="M444" s="8"/>
      <c r="N444" s="8"/>
      <c r="O444" s="8"/>
      <c r="P444" s="8"/>
      <c r="Q444" s="8"/>
      <c r="R444" s="8"/>
      <c r="S444" s="8"/>
      <c r="T444" s="8"/>
      <c r="U444" s="8"/>
      <c r="V444" s="8"/>
    </row>
    <row r="445" spans="2:26" ht="14.5" x14ac:dyDescent="0.35">
      <c r="B445" s="71" t="s">
        <v>6</v>
      </c>
      <c r="C445" s="72"/>
      <c r="D445" s="72"/>
      <c r="E445" s="72"/>
      <c r="F445" s="72"/>
      <c r="G445" s="73"/>
      <c r="H445" s="73">
        <f>IFERROR(SUM(H442:H444),"-")</f>
        <v>0.99999999999999989</v>
      </c>
      <c r="I445" s="89">
        <f>IFERROR(SUM(I442:I444),"-")</f>
        <v>1</v>
      </c>
      <c r="J445" s="72">
        <v>1</v>
      </c>
      <c r="K445" s="8"/>
      <c r="L445" s="8"/>
      <c r="M445" s="8"/>
      <c r="N445" s="8"/>
      <c r="O445" s="8"/>
      <c r="P445" s="8"/>
      <c r="Q445" s="8"/>
      <c r="R445" s="8"/>
      <c r="S445" s="8"/>
      <c r="T445" s="8"/>
      <c r="U445" s="8"/>
      <c r="V445" s="8"/>
    </row>
    <row r="446" spans="2:26" ht="14.5" x14ac:dyDescent="0.35">
      <c r="B446" s="103" t="s">
        <v>7</v>
      </c>
      <c r="C446" s="104"/>
      <c r="D446" s="104"/>
      <c r="E446" s="104"/>
      <c r="F446" s="104"/>
      <c r="G446" s="163"/>
      <c r="H446" s="165">
        <f>IFERROR(IF(K$436&lt;7,,((GETPIVOTDATA("F35",pivot!$O$108,"År",2022)))),)</f>
        <v>3.3855421686746987</v>
      </c>
      <c r="I446" s="148">
        <f>IFERROR(IF(L$436&lt;7,,((GETPIVOTDATA("F35",pivot!$O$108,"År",2023)))),)</f>
        <v>3.3544303797468356</v>
      </c>
      <c r="J446" s="104">
        <v>3.3544303797468356</v>
      </c>
      <c r="K446" s="8"/>
      <c r="L446" s="8"/>
      <c r="M446" s="8"/>
      <c r="N446" s="8"/>
      <c r="O446" s="8"/>
      <c r="P446" s="8"/>
      <c r="Q446" s="8"/>
      <c r="R446" s="8"/>
      <c r="S446" s="8"/>
      <c r="T446" s="8"/>
      <c r="U446" s="8"/>
      <c r="V446" s="8"/>
    </row>
    <row r="447" spans="2:26" ht="14.5" x14ac:dyDescent="0.35">
      <c r="B447" s="71" t="s">
        <v>8</v>
      </c>
      <c r="C447" s="75"/>
      <c r="D447" s="75"/>
      <c r="E447" s="75"/>
      <c r="F447" s="75"/>
      <c r="G447" s="76"/>
      <c r="H447" s="76">
        <f>IFERROR(GETPIVOTDATA("Hur ofta brukar du vara med kompisar efter skolan och på helger",pivot!$A$344,"År",2022),)</f>
        <v>94</v>
      </c>
      <c r="I447" s="158">
        <f>IFERROR(GETPIVOTDATA("Hur ofta brukar du vara med kompisar efter skolan och på helger",pivot!$A$344,"År",2023),)</f>
        <v>83</v>
      </c>
      <c r="J447" s="80">
        <v>83</v>
      </c>
      <c r="K447" s="8"/>
      <c r="L447" s="8"/>
      <c r="M447" s="8"/>
      <c r="N447" s="8"/>
      <c r="O447" s="8"/>
      <c r="P447" s="8"/>
      <c r="Q447" s="8"/>
      <c r="R447" s="8"/>
      <c r="S447" s="8"/>
      <c r="T447" s="8"/>
      <c r="U447" s="8"/>
      <c r="V447" s="8"/>
    </row>
    <row r="448" spans="2:26" ht="14.5" x14ac:dyDescent="0.35">
      <c r="B448" s="8"/>
      <c r="C448" s="8"/>
      <c r="D448" s="8"/>
      <c r="E448" s="8"/>
      <c r="F448" s="8"/>
      <c r="G448" s="8"/>
      <c r="H448" s="65"/>
      <c r="I448" s="8"/>
      <c r="J448" s="91"/>
      <c r="K448" s="91"/>
      <c r="L448" s="91"/>
      <c r="M448" s="8"/>
      <c r="N448" s="8"/>
      <c r="O448" s="8"/>
      <c r="P448" s="8"/>
      <c r="Q448" s="8"/>
      <c r="R448" s="8"/>
      <c r="S448" s="8"/>
      <c r="T448" s="8"/>
      <c r="U448" s="8"/>
      <c r="V448" s="8"/>
      <c r="W448" s="8"/>
      <c r="X448" s="8"/>
    </row>
    <row r="449" spans="2:24" ht="14.5" x14ac:dyDescent="0.35">
      <c r="B449" s="8"/>
      <c r="C449" s="8"/>
      <c r="D449" s="8"/>
      <c r="E449" s="8"/>
      <c r="F449" s="8"/>
      <c r="G449" s="8"/>
      <c r="H449" s="65"/>
      <c r="I449" s="8"/>
      <c r="J449" s="91"/>
      <c r="K449" s="91"/>
      <c r="L449" s="91"/>
      <c r="M449" s="8"/>
      <c r="N449" s="8"/>
      <c r="O449" s="8"/>
      <c r="P449" s="8"/>
      <c r="Q449" s="8"/>
      <c r="R449" s="8"/>
      <c r="S449" s="8"/>
      <c r="T449" s="8"/>
      <c r="U449" s="8"/>
      <c r="V449" s="8"/>
      <c r="W449" s="8"/>
      <c r="X449" s="8"/>
    </row>
    <row r="450" spans="2:24" ht="15.5" x14ac:dyDescent="0.35">
      <c r="B450" s="124" t="s">
        <v>148</v>
      </c>
      <c r="C450" s="8"/>
      <c r="D450" s="51"/>
      <c r="E450" s="51"/>
      <c r="F450" s="8"/>
      <c r="G450" s="8"/>
      <c r="H450" s="65"/>
      <c r="I450" s="8"/>
      <c r="J450" s="65"/>
      <c r="K450" s="65"/>
      <c r="L450" s="65"/>
      <c r="M450" s="91"/>
      <c r="N450" s="8"/>
      <c r="O450" s="8"/>
      <c r="P450" s="8"/>
      <c r="Q450" s="8"/>
      <c r="R450" s="8"/>
      <c r="S450" s="8"/>
      <c r="T450" s="8"/>
      <c r="U450" s="8"/>
      <c r="V450" s="8"/>
      <c r="W450" s="8"/>
      <c r="X450" s="8"/>
    </row>
    <row r="451" spans="2:24" ht="14.5" x14ac:dyDescent="0.35">
      <c r="B451" s="8"/>
      <c r="C451" s="49"/>
      <c r="D451" s="50"/>
      <c r="E451" s="50"/>
      <c r="F451" s="50"/>
      <c r="I451" s="108" t="str">
        <f>$G$7</f>
        <v>(Alla)</v>
      </c>
      <c r="J451" s="108" t="s">
        <v>6</v>
      </c>
      <c r="K451" s="15"/>
      <c r="L451" s="15"/>
      <c r="N451" s="8"/>
      <c r="O451" s="8"/>
      <c r="P451" s="8"/>
      <c r="Q451" s="8"/>
      <c r="R451" s="8"/>
      <c r="S451" s="8"/>
      <c r="T451" s="8"/>
      <c r="U451" s="8"/>
      <c r="V451" s="8"/>
      <c r="W451" s="8"/>
      <c r="X451" s="8"/>
    </row>
    <row r="452" spans="2:24" ht="14.5" x14ac:dyDescent="0.35">
      <c r="C452" s="18"/>
      <c r="D452" s="18"/>
      <c r="E452" s="18"/>
      <c r="F452" s="18"/>
      <c r="G452" s="9"/>
      <c r="H452" s="9">
        <v>2022</v>
      </c>
      <c r="I452" s="155">
        <v>2023</v>
      </c>
      <c r="J452" s="30">
        <v>2023</v>
      </c>
      <c r="K452" s="8"/>
      <c r="L452" s="8"/>
      <c r="M452" s="8"/>
      <c r="N452" s="8"/>
      <c r="O452" s="8"/>
      <c r="P452" s="8"/>
      <c r="Q452" s="8"/>
      <c r="R452" s="8"/>
      <c r="S452" s="8"/>
      <c r="T452" s="8"/>
      <c r="U452" s="8"/>
      <c r="V452" s="8"/>
    </row>
    <row r="453" spans="2:24" ht="14.5" x14ac:dyDescent="0.35">
      <c r="B453" s="71" t="s">
        <v>170</v>
      </c>
      <c r="C453" s="72"/>
      <c r="D453" s="72"/>
      <c r="E453" s="72"/>
      <c r="F453" s="72"/>
      <c r="G453" s="73"/>
      <c r="H453" s="73">
        <f>IFERROR(IF(K$436&lt;7,,((GETPIVOTDATA("Har du någon regelbunden aktivitet på din fritid",pivot!$I$354,"År",2022,"Har du någon regelbunden aktivitet på din fritid",1)))),)</f>
        <v>0.54081632653061229</v>
      </c>
      <c r="I453" s="89">
        <f>IFERROR(IF(L$436&lt;7,,((GETPIVOTDATA("Har du någon regelbunden aktivitet på din fritid",pivot!$I$354,"År",2023,"Har du någon regelbunden aktivitet på din fritid",1)))),)</f>
        <v>0.56976744186046513</v>
      </c>
      <c r="J453" s="72">
        <v>0.56976744186046513</v>
      </c>
      <c r="K453" s="8"/>
      <c r="L453" s="8"/>
      <c r="M453" s="8"/>
      <c r="N453" s="8"/>
      <c r="O453" s="8"/>
      <c r="P453" s="8"/>
      <c r="Q453" s="8"/>
      <c r="R453" s="8"/>
      <c r="S453" s="8"/>
      <c r="T453" s="8"/>
      <c r="U453" s="8"/>
      <c r="V453" s="8"/>
    </row>
    <row r="454" spans="2:24" ht="14.5" x14ac:dyDescent="0.35">
      <c r="B454" s="74" t="s">
        <v>171</v>
      </c>
      <c r="C454" s="72"/>
      <c r="D454" s="72"/>
      <c r="E454" s="72"/>
      <c r="F454" s="72"/>
      <c r="G454" s="73"/>
      <c r="H454" s="73">
        <f>IFERROR(IF(K$436&lt;7,,((GETPIVOTDATA("Har du någon regelbunden aktivitet på din fritid",pivot!$I$354,"År",2022,"Har du någon regelbunden aktivitet på din fritid",2)))),)</f>
        <v>0.45918367346938777</v>
      </c>
      <c r="I454" s="89">
        <f>IFERROR(IF(L$436&lt;7,,((GETPIVOTDATA("Har du någon regelbunden aktivitet på din fritid",pivot!$I$354,"År",2023,"Har du någon regelbunden aktivitet på din fritid",2)))),)</f>
        <v>0.43023255813953487</v>
      </c>
      <c r="J454" s="72">
        <v>0.43023255813953487</v>
      </c>
      <c r="K454" s="8"/>
      <c r="L454" s="8"/>
      <c r="M454" s="8"/>
      <c r="N454" s="8"/>
      <c r="O454" s="8"/>
      <c r="P454" s="8"/>
      <c r="Q454" s="8"/>
      <c r="R454" s="8"/>
      <c r="S454" s="8"/>
      <c r="T454" s="8"/>
      <c r="U454" s="8"/>
      <c r="V454" s="8"/>
    </row>
    <row r="455" spans="2:24" ht="14.5" x14ac:dyDescent="0.35">
      <c r="B455" s="71" t="s">
        <v>6</v>
      </c>
      <c r="C455" s="72"/>
      <c r="D455" s="72"/>
      <c r="E455" s="72"/>
      <c r="F455" s="72"/>
      <c r="G455" s="73"/>
      <c r="H455" s="73">
        <f>IFERROR(SUM(H453:H454),"-")</f>
        <v>1</v>
      </c>
      <c r="I455" s="89">
        <f>IFERROR(SUM(I453:I454),"-")</f>
        <v>1</v>
      </c>
      <c r="J455" s="72">
        <v>1</v>
      </c>
      <c r="K455" s="8"/>
      <c r="L455" s="8"/>
      <c r="M455" s="8"/>
      <c r="N455" s="8"/>
      <c r="O455" s="8"/>
      <c r="P455" s="8"/>
      <c r="Q455" s="8"/>
      <c r="R455" s="8"/>
      <c r="S455" s="8"/>
      <c r="T455" s="8"/>
      <c r="U455" s="8"/>
      <c r="V455" s="8"/>
    </row>
    <row r="456" spans="2:24" ht="14.5" x14ac:dyDescent="0.35">
      <c r="B456" s="103" t="s">
        <v>7</v>
      </c>
      <c r="C456" s="104"/>
      <c r="D456" s="104"/>
      <c r="E456" s="104"/>
      <c r="F456" s="104"/>
      <c r="G456" s="163"/>
      <c r="H456" s="165">
        <f>IFERROR(IF(K$436&lt;7,,((GETPIVOTDATA("F35",pivot!$O$108,"År",2022)))),)</f>
        <v>3.3855421686746987</v>
      </c>
      <c r="I456" s="148">
        <f>IFERROR(IF(L$436&lt;7,,((GETPIVOTDATA("F35",pivot!$O$108,"År",2023)))),)</f>
        <v>3.3544303797468356</v>
      </c>
      <c r="J456" s="104">
        <v>3.3544303797468356</v>
      </c>
      <c r="K456" s="8"/>
      <c r="L456" s="8"/>
      <c r="M456" s="8"/>
      <c r="N456" s="8"/>
      <c r="O456" s="8"/>
      <c r="P456" s="8"/>
      <c r="Q456" s="8"/>
      <c r="R456" s="8"/>
      <c r="S456" s="8"/>
      <c r="T456" s="8"/>
      <c r="U456" s="8"/>
      <c r="V456" s="8"/>
    </row>
    <row r="457" spans="2:24" ht="14.5" x14ac:dyDescent="0.35">
      <c r="B457" s="71" t="s">
        <v>8</v>
      </c>
      <c r="C457" s="75"/>
      <c r="D457" s="75"/>
      <c r="E457" s="75"/>
      <c r="F457" s="75"/>
      <c r="G457" s="76"/>
      <c r="H457" s="76">
        <f>IFERROR(GETPIVOTDATA("Har du någon regelbunden aktivitet på din fritid",pivot!$A$354,"År",2022),)</f>
        <v>98</v>
      </c>
      <c r="I457" s="181">
        <f>IFERROR(GETPIVOTDATA("Har du någon regelbunden aktivitet på din fritid",pivot!$A$354,"År",2023),)</f>
        <v>86</v>
      </c>
      <c r="J457" s="80">
        <v>86</v>
      </c>
      <c r="K457" s="8"/>
      <c r="L457" s="8"/>
      <c r="M457" s="8"/>
      <c r="N457" s="8"/>
      <c r="O457" s="8"/>
      <c r="P457" s="8"/>
      <c r="Q457" s="8"/>
      <c r="R457" s="8"/>
      <c r="S457" s="8"/>
      <c r="T457" s="8"/>
      <c r="U457" s="8"/>
      <c r="V457" s="8"/>
    </row>
    <row r="458" spans="2:24" ht="14.5" x14ac:dyDescent="0.35">
      <c r="B458" s="8"/>
      <c r="C458" s="8"/>
      <c r="D458" s="8"/>
      <c r="E458" s="8"/>
      <c r="F458" s="8"/>
      <c r="G458" s="8"/>
      <c r="H458" s="65"/>
      <c r="I458" s="8"/>
      <c r="J458" s="91"/>
      <c r="K458" s="91"/>
      <c r="L458" s="91"/>
      <c r="M458" s="8"/>
      <c r="N458" s="8"/>
      <c r="O458" s="8"/>
      <c r="P458" s="8"/>
      <c r="Q458" s="8"/>
      <c r="R458" s="8"/>
      <c r="S458" s="8"/>
      <c r="T458" s="8"/>
      <c r="U458" s="8"/>
      <c r="V458" s="8"/>
      <c r="W458" s="8"/>
      <c r="X458" s="8"/>
    </row>
    <row r="459" spans="2:24" ht="14.5" x14ac:dyDescent="0.35">
      <c r="B459" s="8"/>
      <c r="C459" s="8"/>
      <c r="D459" s="8"/>
      <c r="E459" s="8"/>
      <c r="F459" s="8"/>
      <c r="G459" s="8"/>
      <c r="H459" s="65"/>
      <c r="I459" s="8"/>
      <c r="J459" s="91"/>
      <c r="K459" s="91"/>
      <c r="L459" s="91"/>
      <c r="M459" s="8"/>
      <c r="N459" s="8"/>
      <c r="O459" s="8"/>
      <c r="P459" s="8"/>
      <c r="Q459" s="8"/>
      <c r="R459" s="8"/>
      <c r="S459" s="8"/>
      <c r="T459" s="8"/>
      <c r="U459" s="8"/>
      <c r="V459" s="8"/>
      <c r="W459" s="8"/>
      <c r="X459" s="8"/>
    </row>
    <row r="460" spans="2:24" ht="15.5" x14ac:dyDescent="0.35">
      <c r="B460" s="124" t="s">
        <v>149</v>
      </c>
      <c r="C460" s="8"/>
      <c r="D460" s="51"/>
      <c r="E460" s="51"/>
      <c r="F460" s="8"/>
      <c r="G460" s="8"/>
      <c r="H460" s="65"/>
      <c r="I460" s="8"/>
      <c r="J460" s="65"/>
      <c r="K460" s="65"/>
      <c r="L460" s="65"/>
      <c r="M460" s="91"/>
      <c r="N460" s="8"/>
      <c r="O460" s="8"/>
      <c r="P460" s="8"/>
      <c r="Q460" s="8"/>
      <c r="R460" s="8"/>
      <c r="S460" s="8"/>
      <c r="T460" s="8"/>
      <c r="U460" s="8"/>
      <c r="V460" s="8"/>
      <c r="W460" s="8"/>
      <c r="X460" s="8"/>
    </row>
    <row r="461" spans="2:24" ht="14.5" x14ac:dyDescent="0.35">
      <c r="B461" s="8"/>
      <c r="C461" s="49"/>
      <c r="D461" s="50"/>
      <c r="E461" s="50"/>
      <c r="F461" s="50"/>
      <c r="H461" s="108"/>
      <c r="I461" s="152" t="str">
        <f>$G$7</f>
        <v>(Alla)</v>
      </c>
      <c r="J461" s="150" t="s">
        <v>6</v>
      </c>
      <c r="K461" s="15"/>
      <c r="L461" s="15"/>
      <c r="N461" s="8"/>
      <c r="O461" s="8"/>
      <c r="P461" s="8"/>
      <c r="Q461" s="8"/>
      <c r="R461" s="8"/>
      <c r="S461" s="8"/>
      <c r="T461" s="8"/>
      <c r="U461" s="8"/>
      <c r="V461" s="8"/>
      <c r="W461" s="8"/>
      <c r="X461" s="8"/>
    </row>
    <row r="462" spans="2:24" ht="14.5" x14ac:dyDescent="0.35">
      <c r="C462" s="18"/>
      <c r="D462" s="18"/>
      <c r="E462" s="18"/>
      <c r="F462" s="18"/>
      <c r="G462" s="18"/>
      <c r="H462" s="9">
        <v>2022</v>
      </c>
      <c r="I462" s="179">
        <v>2023</v>
      </c>
      <c r="J462" s="30">
        <v>2023</v>
      </c>
      <c r="K462" s="8"/>
      <c r="L462" s="8"/>
      <c r="M462" s="8"/>
      <c r="N462" s="8"/>
      <c r="O462" s="8"/>
      <c r="P462" s="8"/>
      <c r="Q462" s="8"/>
      <c r="R462" s="8"/>
      <c r="S462" s="8"/>
      <c r="T462" s="8"/>
      <c r="U462" s="8"/>
      <c r="V462" s="8"/>
    </row>
    <row r="463" spans="2:24" ht="14.5" x14ac:dyDescent="0.35">
      <c r="B463" s="71" t="s">
        <v>172</v>
      </c>
      <c r="C463" s="72"/>
      <c r="D463" s="72"/>
      <c r="E463" s="72"/>
      <c r="F463" s="72"/>
      <c r="G463" s="72"/>
      <c r="H463" s="73">
        <f>IFERROR(IF(K$436&lt;7,,((GETPIVOTDATA("Kan du prata med någon av dina föräldrar om du har problem eller oro",pivot!$I$363,"År",2022,"Kan du prata med någon av dina föräldrar om du har problem eller oro",1)))),)</f>
        <v>0.53061224489795922</v>
      </c>
      <c r="I463" s="180">
        <f>IFERROR(IF(L$436&lt;7,,((GETPIVOTDATA("Kan du prata med någon av dina föräldrar om du har problem eller oro",pivot!$I$363,"År",2023,"Kan du prata med någon av dina föräldrar om du har problem eller oro",1)))),)</f>
        <v>0.6071428571428571</v>
      </c>
      <c r="J463" s="72">
        <v>0.6071428571428571</v>
      </c>
      <c r="K463" s="8"/>
      <c r="L463" s="8"/>
      <c r="M463" s="8"/>
      <c r="N463" s="8"/>
      <c r="O463" s="8"/>
      <c r="P463" s="8"/>
      <c r="Q463" s="8"/>
      <c r="R463" s="8"/>
      <c r="S463" s="8"/>
      <c r="T463" s="8"/>
      <c r="U463" s="8"/>
      <c r="V463" s="8"/>
    </row>
    <row r="464" spans="2:24" ht="14.5" x14ac:dyDescent="0.35">
      <c r="B464" s="74">
        <v>2</v>
      </c>
      <c r="C464" s="72"/>
      <c r="D464" s="72"/>
      <c r="E464" s="72"/>
      <c r="F464" s="72"/>
      <c r="G464" s="72"/>
      <c r="H464" s="73">
        <f>IFERROR(IF(K$436&lt;7,,((GETPIVOTDATA("Kan du prata med någon av dina föräldrar om du har problem eller oro",pivot!$I$363,"År",2022,"Kan du prata med någon av dina föräldrar om du har problem eller oro",2)))),)</f>
        <v>0.30612244897959184</v>
      </c>
      <c r="I464" s="180">
        <f>IFERROR(IF(L$436&lt;7,,((GETPIVOTDATA("Kan du prata med någon av dina föräldrar om du har problem eller oro",pivot!$I$363,"År",2023,"Kan du prata med någon av dina föräldrar om du har problem eller oro",2)))),)</f>
        <v>0.22619047619047619</v>
      </c>
      <c r="J464" s="72">
        <v>0.22619047619047619</v>
      </c>
      <c r="K464" s="8"/>
      <c r="L464" s="8"/>
      <c r="M464" s="8"/>
      <c r="N464" s="8"/>
      <c r="O464" s="8"/>
      <c r="P464" s="8"/>
      <c r="Q464" s="8"/>
      <c r="R464" s="8"/>
      <c r="S464" s="8"/>
      <c r="T464" s="8"/>
      <c r="U464" s="8"/>
      <c r="V464" s="8"/>
    </row>
    <row r="465" spans="2:24" ht="14.5" x14ac:dyDescent="0.35">
      <c r="B465" s="74" t="s">
        <v>173</v>
      </c>
      <c r="C465" s="72"/>
      <c r="D465" s="72"/>
      <c r="E465" s="72"/>
      <c r="F465" s="72"/>
      <c r="G465" s="72"/>
      <c r="H465" s="73">
        <f>IFERROR(IF(K$436&lt;7,,((GETPIVOTDATA("Kan du prata med någon av dina föräldrar om du har problem eller oro",pivot!$I$363,"År",2022,"Kan du prata med någon av dina föräldrar om du har problem eller oro",3)))),)</f>
        <v>0.16326530612244897</v>
      </c>
      <c r="I465" s="180">
        <f>IFERROR(IF(L$436&lt;7,,((GETPIVOTDATA("Kan du prata med någon av dina föräldrar om du har problem eller oro",pivot!$I$363,"År",2023,"Kan du prata med någon av dina föräldrar om du har problem eller oro",3)))),)</f>
        <v>0.16666666666666666</v>
      </c>
      <c r="J465" s="72">
        <v>0.16666666666666666</v>
      </c>
      <c r="K465" s="8"/>
      <c r="L465" s="8"/>
      <c r="M465" s="8"/>
      <c r="N465" s="8"/>
      <c r="O465" s="8"/>
      <c r="P465" s="8"/>
      <c r="Q465" s="8"/>
      <c r="R465" s="8"/>
      <c r="S465" s="8"/>
      <c r="T465" s="8"/>
      <c r="U465" s="8"/>
      <c r="V465" s="8"/>
    </row>
    <row r="466" spans="2:24" ht="14.5" x14ac:dyDescent="0.35">
      <c r="B466" s="71" t="s">
        <v>6</v>
      </c>
      <c r="C466" s="72"/>
      <c r="D466" s="72"/>
      <c r="E466" s="72"/>
      <c r="F466" s="72"/>
      <c r="G466" s="72"/>
      <c r="H466" s="73">
        <f>IFERROR(SUM(H463:H465),"-")</f>
        <v>1</v>
      </c>
      <c r="I466" s="89">
        <f>IFERROR(SUM(I463:I465),"-")</f>
        <v>0.99999999999999989</v>
      </c>
      <c r="J466" s="72">
        <v>0.99999999999999989</v>
      </c>
      <c r="K466" s="8"/>
      <c r="L466" s="8"/>
      <c r="M466" s="8"/>
      <c r="N466" s="8"/>
      <c r="O466" s="8"/>
      <c r="P466" s="8"/>
      <c r="Q466" s="8"/>
      <c r="R466" s="8"/>
      <c r="S466" s="8"/>
      <c r="T466" s="8"/>
      <c r="U466" s="8"/>
      <c r="V466" s="8"/>
    </row>
    <row r="467" spans="2:24" ht="14.5" x14ac:dyDescent="0.35">
      <c r="B467" s="103" t="s">
        <v>7</v>
      </c>
      <c r="C467" s="104"/>
      <c r="D467" s="104"/>
      <c r="E467" s="104"/>
      <c r="F467" s="104"/>
      <c r="G467" s="105"/>
      <c r="H467" s="165">
        <f>IFERROR(IF(K$436&lt;7,,((GETPIVOTDATA("F35",pivot!$O$108,"År",2022)))),)</f>
        <v>3.3855421686746987</v>
      </c>
      <c r="I467" s="148">
        <f>IFERROR(IF(L$436&lt;7,,((GETPIVOTDATA("F35",pivot!$O$108,"År",2023)))),)</f>
        <v>3.3544303797468356</v>
      </c>
      <c r="J467" s="104">
        <v>3.3544303797468356</v>
      </c>
      <c r="K467" s="8"/>
      <c r="L467" s="8"/>
      <c r="M467" s="8"/>
      <c r="N467" s="8"/>
      <c r="O467" s="8"/>
      <c r="P467" s="8"/>
      <c r="Q467" s="8"/>
      <c r="R467" s="8"/>
      <c r="S467" s="8"/>
      <c r="T467" s="8"/>
      <c r="U467" s="8"/>
      <c r="V467" s="8"/>
    </row>
    <row r="468" spans="2:24" ht="14.5" x14ac:dyDescent="0.35">
      <c r="B468" s="71" t="s">
        <v>8</v>
      </c>
      <c r="C468" s="75"/>
      <c r="D468" s="75"/>
      <c r="E468" s="75"/>
      <c r="F468" s="75"/>
      <c r="G468" s="80"/>
      <c r="H468" s="76">
        <f>IFERROR(GETPIVOTDATA("Kan du prata med någon av dina föräldrar om du har problem eller oro",pivot!$A$363,"År",2022),)</f>
        <v>98</v>
      </c>
      <c r="I468" s="181">
        <f>IFERROR(GETPIVOTDATA("Kan du prata med någon av dina föräldrar om du har problem eller oro",pivot!$A$363,"År",2023),)</f>
        <v>84</v>
      </c>
      <c r="J468" s="80">
        <v>84</v>
      </c>
      <c r="K468" s="8"/>
      <c r="L468" s="8"/>
      <c r="M468" s="8"/>
      <c r="N468" s="8"/>
      <c r="O468" s="8"/>
      <c r="P468" s="8"/>
      <c r="Q468" s="8"/>
      <c r="R468" s="8"/>
      <c r="S468" s="8"/>
      <c r="T468" s="8"/>
      <c r="U468" s="8"/>
      <c r="V468" s="8"/>
    </row>
    <row r="469" spans="2:24" ht="14.5" x14ac:dyDescent="0.35">
      <c r="B469" s="8"/>
      <c r="C469" s="8"/>
      <c r="D469" s="8"/>
      <c r="E469" s="8"/>
      <c r="F469" s="8"/>
      <c r="G469" s="8"/>
      <c r="H469" s="8"/>
      <c r="I469" s="8"/>
      <c r="J469" s="91"/>
      <c r="K469" s="91"/>
      <c r="L469" s="91"/>
      <c r="M469" s="8"/>
      <c r="N469" s="8"/>
      <c r="O469" s="8"/>
      <c r="P469" s="8"/>
      <c r="Q469" s="8"/>
      <c r="R469" s="8"/>
      <c r="S469" s="8"/>
      <c r="T469" s="8"/>
      <c r="U469" s="8"/>
      <c r="V469" s="8"/>
      <c r="W469" s="8"/>
      <c r="X469" s="8"/>
    </row>
    <row r="470" spans="2:24" ht="14.5" x14ac:dyDescent="0.35">
      <c r="B470" s="8"/>
      <c r="C470" s="8"/>
      <c r="D470" s="8"/>
      <c r="E470" s="8"/>
      <c r="F470" s="8"/>
      <c r="G470" s="8"/>
      <c r="H470" s="8"/>
      <c r="I470" s="8"/>
      <c r="J470" s="91"/>
      <c r="K470" s="91"/>
      <c r="L470" s="91"/>
      <c r="M470" s="8"/>
      <c r="N470" s="8"/>
      <c r="O470" s="8"/>
      <c r="P470" s="8"/>
      <c r="Q470" s="8"/>
      <c r="R470" s="8"/>
      <c r="S470" s="8"/>
      <c r="T470" s="8"/>
      <c r="U470" s="8"/>
      <c r="V470" s="8"/>
      <c r="W470" s="8"/>
      <c r="X470" s="8"/>
    </row>
    <row r="471" spans="2:24" ht="15.5" x14ac:dyDescent="0.35">
      <c r="B471" s="124" t="s">
        <v>150</v>
      </c>
      <c r="C471" s="8"/>
      <c r="D471" s="51"/>
      <c r="E471" s="51"/>
      <c r="F471" s="8"/>
      <c r="G471" s="8"/>
      <c r="H471" s="8"/>
      <c r="I471" s="8"/>
      <c r="J471" s="8"/>
      <c r="K471" s="65"/>
      <c r="L471" s="65"/>
      <c r="M471" s="91"/>
      <c r="N471" s="8"/>
      <c r="O471" s="8"/>
      <c r="P471" s="8"/>
      <c r="Q471" s="8"/>
      <c r="R471" s="8"/>
      <c r="S471" s="8"/>
      <c r="T471" s="8"/>
      <c r="U471" s="8"/>
      <c r="V471" s="8"/>
      <c r="W471" s="8"/>
      <c r="X471" s="8"/>
    </row>
    <row r="472" spans="2:24" ht="14.5" x14ac:dyDescent="0.35">
      <c r="B472" s="8"/>
      <c r="C472" s="49"/>
      <c r="D472" s="50"/>
      <c r="E472" s="50"/>
      <c r="F472" s="50"/>
      <c r="G472" s="150"/>
      <c r="H472" s="17"/>
      <c r="I472" s="150" t="str">
        <f>$G$7</f>
        <v>(Alla)</v>
      </c>
      <c r="J472" s="150" t="s">
        <v>6</v>
      </c>
      <c r="K472" s="15"/>
      <c r="L472" s="15"/>
      <c r="N472" s="8"/>
      <c r="O472" s="8"/>
      <c r="P472" s="8"/>
      <c r="Q472" s="8"/>
      <c r="R472" s="8"/>
      <c r="S472" s="8"/>
      <c r="T472" s="8"/>
      <c r="U472" s="8"/>
      <c r="V472" s="8"/>
      <c r="W472" s="8"/>
      <c r="X472" s="8"/>
    </row>
    <row r="473" spans="2:24" ht="14.5" x14ac:dyDescent="0.35">
      <c r="C473" s="18"/>
      <c r="D473" s="18"/>
      <c r="E473" s="18"/>
      <c r="F473" s="18"/>
      <c r="G473" s="18"/>
      <c r="H473" s="9">
        <v>2022</v>
      </c>
      <c r="I473" s="155">
        <v>2023</v>
      </c>
      <c r="J473" s="30">
        <v>2023</v>
      </c>
      <c r="K473" s="8"/>
      <c r="L473" s="8"/>
      <c r="M473" s="8"/>
      <c r="N473" s="8"/>
      <c r="O473" s="8"/>
      <c r="P473" s="8"/>
      <c r="Q473" s="8"/>
      <c r="R473" s="8"/>
      <c r="S473" s="8"/>
      <c r="T473" s="8"/>
      <c r="U473" s="8"/>
      <c r="V473" s="8"/>
    </row>
    <row r="474" spans="2:24" ht="14.5" x14ac:dyDescent="0.35">
      <c r="B474" s="71" t="s">
        <v>174</v>
      </c>
      <c r="C474" s="72"/>
      <c r="D474" s="72"/>
      <c r="E474" s="72"/>
      <c r="F474" s="72"/>
      <c r="G474" s="72"/>
      <c r="H474" s="73">
        <f>IFERROR(IF(K$436&lt;7,,((GETPIVOTDATA("Hur ser du på din framtid",pivot!$I$373,"År",2022,"Hur ser du på din framtid",1)))),)</f>
        <v>0.30927835051546393</v>
      </c>
      <c r="I474" s="180">
        <f>IFERROR(IF(L$436&lt;7,,((GETPIVOTDATA("Hur ser du på din framtid",pivot!$I$373,"År",2023,"Hur ser du på din framtid",1)))),)</f>
        <v>0.46511627906976744</v>
      </c>
      <c r="J474" s="72">
        <v>0.46511627906976744</v>
      </c>
      <c r="K474" s="8"/>
      <c r="L474" s="8"/>
      <c r="M474" s="8"/>
      <c r="N474" s="8"/>
      <c r="O474" s="8"/>
      <c r="P474" s="8"/>
      <c r="Q474" s="8"/>
      <c r="R474" s="8"/>
      <c r="S474" s="8"/>
      <c r="T474" s="8"/>
      <c r="U474" s="8"/>
      <c r="V474" s="8"/>
    </row>
    <row r="475" spans="2:24" ht="14.5" x14ac:dyDescent="0.35">
      <c r="B475" s="74">
        <v>2</v>
      </c>
      <c r="C475" s="72"/>
      <c r="D475" s="72"/>
      <c r="E475" s="72"/>
      <c r="F475" s="72"/>
      <c r="G475" s="72"/>
      <c r="H475" s="73">
        <f>IFERROR(IF(K$436&lt;7,,((GETPIVOTDATA("Hur ser du på din framtid",pivot!$I$373,"År",2022,"Hur ser du på din framtid",2)))),)</f>
        <v>0.55670103092783507</v>
      </c>
      <c r="I475" s="180">
        <f>IFERROR(IF(L$436&lt;7,,((GETPIVOTDATA("Hur ser du på din framtid",pivot!$I$373,"År",2023,"Hur ser du på din framtid",2)))),)</f>
        <v>0.37209302325581395</v>
      </c>
      <c r="J475" s="72">
        <v>0.37209302325581395</v>
      </c>
      <c r="K475" s="8"/>
      <c r="L475" s="8"/>
      <c r="M475" s="8"/>
      <c r="N475" s="8"/>
      <c r="O475" s="8"/>
      <c r="P475" s="8"/>
      <c r="Q475" s="8"/>
      <c r="R475" s="8"/>
      <c r="S475" s="8"/>
      <c r="T475" s="8"/>
      <c r="U475" s="8"/>
      <c r="V475" s="8"/>
      <c r="W475" s="8"/>
    </row>
    <row r="476" spans="2:24" ht="14.5" x14ac:dyDescent="0.35">
      <c r="B476" s="178" t="s">
        <v>175</v>
      </c>
      <c r="C476" s="72"/>
      <c r="D476" s="72"/>
      <c r="E476" s="72"/>
      <c r="F476" s="72"/>
      <c r="G476" s="72"/>
      <c r="H476" s="73">
        <f>IFERROR(IF(K$436&lt;7,,((GETPIVOTDATA("Hur ser du på din framtid",pivot!$I$373,"År",2022,"Hur ser du på din framtid",3)))),)</f>
        <v>0.13402061855670103</v>
      </c>
      <c r="I476" s="180">
        <f>IFERROR(IF(L$436&lt;7,,((GETPIVOTDATA("Hur ser du på din framtid",pivot!$I$373,"År",2023,"Hur ser du på din framtid",3)))),)</f>
        <v>0.16279069767441862</v>
      </c>
      <c r="J476" s="72">
        <v>0.16279069767441862</v>
      </c>
      <c r="K476" s="8"/>
      <c r="L476" s="8"/>
      <c r="M476" s="8"/>
      <c r="N476" s="8"/>
      <c r="O476" s="8"/>
      <c r="P476" s="8"/>
      <c r="Q476" s="8"/>
      <c r="R476" s="8"/>
      <c r="S476" s="8"/>
      <c r="T476" s="8"/>
      <c r="U476" s="8"/>
      <c r="V476" s="8"/>
      <c r="W476" s="8"/>
    </row>
    <row r="477" spans="2:24" ht="14.5" x14ac:dyDescent="0.35">
      <c r="B477" s="71" t="s">
        <v>6</v>
      </c>
      <c r="C477" s="72"/>
      <c r="D477" s="72"/>
      <c r="E477" s="72"/>
      <c r="F477" s="72"/>
      <c r="G477" s="72"/>
      <c r="H477" s="73">
        <f>IFERROR(SUM(H474:H476),"-")</f>
        <v>1</v>
      </c>
      <c r="I477" s="89">
        <f>IFERROR(SUM(I474:I476),"-")</f>
        <v>1</v>
      </c>
      <c r="J477" s="72">
        <v>1</v>
      </c>
      <c r="K477" s="8"/>
      <c r="L477" s="8"/>
      <c r="M477" s="8"/>
      <c r="N477" s="8"/>
      <c r="O477" s="8"/>
      <c r="P477" s="8"/>
      <c r="Q477" s="8"/>
      <c r="R477" s="8"/>
      <c r="S477" s="8"/>
      <c r="T477" s="8"/>
      <c r="U477" s="8"/>
      <c r="V477" s="8"/>
      <c r="W477" s="8"/>
    </row>
    <row r="478" spans="2:24" ht="14.5" x14ac:dyDescent="0.35">
      <c r="B478" s="103" t="s">
        <v>7</v>
      </c>
      <c r="C478" s="104"/>
      <c r="D478" s="104"/>
      <c r="E478" s="104"/>
      <c r="F478" s="104"/>
      <c r="G478" s="105"/>
      <c r="H478" s="165">
        <f>IFERROR(IF(K$436&lt;7,,((GETPIVOTDATA("F35",pivot!$O$108,"År",2022)))),)</f>
        <v>3.3855421686746987</v>
      </c>
      <c r="I478" s="148">
        <f>IFERROR(IF(L$436&lt;7,,((GETPIVOTDATA("F35",pivot!$O$108,"År",2023)))),)</f>
        <v>3.3544303797468356</v>
      </c>
      <c r="J478" s="104">
        <v>3.3544303797468356</v>
      </c>
      <c r="K478" s="8"/>
      <c r="L478" s="8"/>
      <c r="M478" s="8"/>
      <c r="N478" s="8"/>
      <c r="O478" s="8"/>
      <c r="P478" s="8"/>
      <c r="Q478" s="8"/>
      <c r="R478" s="8"/>
      <c r="S478" s="8"/>
      <c r="T478" s="8"/>
      <c r="U478" s="8"/>
      <c r="V478" s="8"/>
      <c r="W478" s="8"/>
    </row>
    <row r="479" spans="2:24" ht="14.5" x14ac:dyDescent="0.35">
      <c r="B479" s="71" t="s">
        <v>8</v>
      </c>
      <c r="C479" s="75"/>
      <c r="D479" s="75"/>
      <c r="E479" s="75"/>
      <c r="F479" s="75"/>
      <c r="G479" s="80"/>
      <c r="H479" s="76">
        <f>IFERROR(GETPIVOTDATA("Hur ser du på din framtid",pivot!$A$373,"År",2022),)</f>
        <v>97</v>
      </c>
      <c r="I479" s="181">
        <f>IFERROR(GETPIVOTDATA("Hur ser du på din framtid",pivot!$A$373,"År",2023),)</f>
        <v>86</v>
      </c>
      <c r="J479" s="80">
        <v>86</v>
      </c>
      <c r="K479" s="8"/>
      <c r="L479" s="8"/>
      <c r="M479" s="8"/>
      <c r="N479" s="8"/>
      <c r="O479" s="8"/>
      <c r="P479" s="8"/>
      <c r="Q479" s="8"/>
      <c r="R479" s="8"/>
      <c r="S479" s="8"/>
      <c r="T479" s="8"/>
      <c r="U479" s="8"/>
      <c r="V479" s="8"/>
      <c r="W479" s="8"/>
    </row>
    <row r="480" spans="2:24" ht="14.5" x14ac:dyDescent="0.35">
      <c r="B480" s="8"/>
      <c r="C480" s="8"/>
      <c r="D480" s="8"/>
      <c r="E480" s="8"/>
      <c r="F480" s="8"/>
      <c r="G480" s="8"/>
      <c r="H480" s="8"/>
      <c r="I480" s="8"/>
      <c r="J480" s="91"/>
      <c r="K480" s="8"/>
      <c r="L480" s="8"/>
      <c r="M480" s="8"/>
      <c r="N480" s="8"/>
      <c r="O480" s="8"/>
      <c r="P480" s="8"/>
      <c r="Q480" s="8"/>
      <c r="R480" s="8"/>
      <c r="S480" s="8"/>
      <c r="T480" s="8"/>
      <c r="U480" s="8"/>
      <c r="V480" s="8"/>
      <c r="W480" s="8"/>
      <c r="X480" s="8"/>
    </row>
    <row r="481" spans="2:24" ht="14.5" x14ac:dyDescent="0.35">
      <c r="B481" s="8"/>
      <c r="C481" s="8"/>
      <c r="D481" s="8"/>
      <c r="E481" s="8"/>
      <c r="F481" s="8"/>
      <c r="G481" s="8"/>
      <c r="H481" s="8"/>
      <c r="I481" s="8"/>
      <c r="J481" s="91"/>
      <c r="K481" s="8"/>
      <c r="L481" s="8"/>
      <c r="M481" s="8"/>
      <c r="N481" s="8"/>
      <c r="O481" s="8"/>
      <c r="P481" s="8"/>
      <c r="Q481" s="8"/>
      <c r="R481" s="8"/>
      <c r="S481" s="8"/>
      <c r="T481" s="8"/>
      <c r="U481" s="8"/>
      <c r="V481" s="8"/>
      <c r="W481" s="8"/>
      <c r="X481" s="8"/>
    </row>
    <row r="482" spans="2:24" ht="14.5" x14ac:dyDescent="0.35">
      <c r="B482" s="8"/>
      <c r="C482" s="8"/>
      <c r="D482" s="8"/>
      <c r="E482" s="8"/>
      <c r="F482" s="8"/>
      <c r="G482" s="8"/>
      <c r="H482" s="8"/>
      <c r="I482" s="8"/>
      <c r="J482" s="91"/>
      <c r="K482" s="8"/>
      <c r="L482" s="8"/>
      <c r="M482" s="8"/>
      <c r="N482" s="8"/>
      <c r="O482" s="8"/>
      <c r="P482" s="8"/>
      <c r="Q482" s="8"/>
      <c r="R482" s="8"/>
      <c r="S482" s="8"/>
      <c r="T482" s="8"/>
      <c r="U482" s="8"/>
      <c r="V482" s="8"/>
      <c r="W482" s="8"/>
      <c r="X482" s="8"/>
    </row>
    <row r="483" spans="2:24" ht="14.5" x14ac:dyDescent="0.35">
      <c r="B483" s="8"/>
      <c r="C483" s="8"/>
      <c r="D483" s="8"/>
      <c r="E483" s="8"/>
      <c r="F483" s="8"/>
      <c r="G483" s="8"/>
      <c r="H483" s="8"/>
      <c r="I483" s="8"/>
      <c r="J483" s="91"/>
      <c r="K483" s="8"/>
      <c r="L483" s="8"/>
      <c r="M483" s="8"/>
      <c r="N483" s="8"/>
      <c r="O483" s="8"/>
      <c r="P483" s="8"/>
      <c r="Q483" s="8"/>
      <c r="R483" s="8"/>
      <c r="S483" s="8"/>
      <c r="T483" s="8"/>
      <c r="U483" s="8"/>
      <c r="V483" s="8"/>
      <c r="W483" s="8"/>
      <c r="X483" s="8"/>
    </row>
    <row r="484" spans="2:24" ht="14.5" x14ac:dyDescent="0.35">
      <c r="B484" s="8"/>
      <c r="C484" s="8"/>
      <c r="D484" s="8"/>
      <c r="E484" s="8"/>
      <c r="F484" s="8"/>
      <c r="G484" s="8"/>
      <c r="H484" s="8"/>
      <c r="I484" s="8"/>
      <c r="J484" s="91"/>
      <c r="K484" s="8"/>
      <c r="L484" s="8"/>
      <c r="M484" s="8"/>
      <c r="N484" s="8"/>
      <c r="O484" s="8"/>
      <c r="P484" s="8"/>
      <c r="Q484" s="8"/>
      <c r="R484" s="8"/>
      <c r="S484" s="8"/>
      <c r="T484" s="8"/>
      <c r="U484" s="8"/>
      <c r="V484" s="8"/>
      <c r="W484" s="8"/>
      <c r="X484" s="8"/>
    </row>
    <row r="485" spans="2:24" ht="14.5" x14ac:dyDescent="0.35">
      <c r="B485" s="8"/>
      <c r="C485" s="8"/>
      <c r="D485" s="8"/>
      <c r="E485" s="8"/>
      <c r="F485" s="8"/>
      <c r="G485" s="8"/>
      <c r="H485" s="8"/>
      <c r="I485" s="8"/>
      <c r="J485" s="91"/>
      <c r="K485" s="8"/>
      <c r="L485" s="8"/>
      <c r="M485" s="8"/>
      <c r="N485" s="8"/>
      <c r="O485" s="8"/>
      <c r="P485" s="8"/>
      <c r="Q485" s="8"/>
      <c r="R485" s="8"/>
      <c r="S485" s="8"/>
      <c r="T485" s="8"/>
      <c r="U485" s="8"/>
      <c r="V485" s="8"/>
      <c r="W485" s="8"/>
      <c r="X485" s="8"/>
    </row>
    <row r="486" spans="2:24" ht="14.5" x14ac:dyDescent="0.35">
      <c r="B486" s="8"/>
      <c r="C486" s="8"/>
      <c r="D486" s="8"/>
      <c r="E486" s="8"/>
      <c r="F486" s="8"/>
      <c r="G486" s="8"/>
      <c r="H486" s="8"/>
      <c r="I486" s="8"/>
      <c r="J486" s="91"/>
      <c r="K486" s="8"/>
      <c r="L486" s="8"/>
      <c r="M486" s="8"/>
      <c r="N486" s="8"/>
      <c r="O486" s="8"/>
      <c r="P486" s="8"/>
      <c r="Q486" s="8"/>
      <c r="R486" s="8"/>
      <c r="S486" s="8"/>
      <c r="T486" s="8"/>
      <c r="U486" s="8"/>
      <c r="V486" s="8"/>
      <c r="W486" s="8"/>
      <c r="X486" s="8"/>
    </row>
    <row r="487" spans="2:24" ht="14.5" x14ac:dyDescent="0.35">
      <c r="B487" s="8"/>
      <c r="C487" s="8"/>
      <c r="D487" s="8"/>
      <c r="E487" s="8"/>
      <c r="F487" s="8"/>
      <c r="G487" s="8"/>
      <c r="H487" s="8"/>
      <c r="I487" s="8"/>
      <c r="J487" s="91"/>
      <c r="K487" s="8"/>
      <c r="L487" s="8"/>
      <c r="M487" s="8"/>
      <c r="N487" s="8"/>
      <c r="O487" s="8"/>
      <c r="P487" s="8"/>
      <c r="Q487" s="8"/>
      <c r="R487" s="8"/>
      <c r="S487" s="8"/>
      <c r="T487" s="8"/>
      <c r="U487" s="8"/>
      <c r="V487" s="8"/>
      <c r="W487" s="8"/>
      <c r="X487" s="8"/>
    </row>
    <row r="488" spans="2:24" ht="14.5" x14ac:dyDescent="0.35">
      <c r="B488" s="8"/>
      <c r="C488" s="8"/>
      <c r="D488" s="8"/>
      <c r="E488" s="8"/>
      <c r="F488" s="8"/>
      <c r="G488" s="8"/>
      <c r="H488" s="8"/>
      <c r="I488" s="8"/>
      <c r="J488" s="91"/>
      <c r="K488" s="8"/>
      <c r="L488" s="8"/>
      <c r="M488" s="8"/>
      <c r="N488" s="8"/>
      <c r="O488" s="8"/>
      <c r="P488" s="8"/>
      <c r="Q488" s="8"/>
      <c r="R488" s="8"/>
      <c r="S488" s="8"/>
      <c r="T488" s="8"/>
      <c r="U488" s="8"/>
      <c r="V488" s="8"/>
      <c r="W488" s="8"/>
      <c r="X488" s="8"/>
    </row>
    <row r="489" spans="2:24" ht="14.5" x14ac:dyDescent="0.35">
      <c r="B489" s="8"/>
      <c r="C489" s="8"/>
      <c r="D489" s="8"/>
      <c r="E489" s="8"/>
      <c r="F489" s="8"/>
      <c r="G489" s="8"/>
      <c r="H489" s="8"/>
      <c r="I489" s="8"/>
      <c r="J489" s="91"/>
      <c r="K489" s="8"/>
      <c r="L489" s="8"/>
      <c r="M489" s="8"/>
      <c r="N489" s="8"/>
      <c r="O489" s="8"/>
      <c r="P489" s="8"/>
      <c r="Q489" s="8"/>
      <c r="R489" s="8"/>
      <c r="S489" s="8"/>
      <c r="T489" s="8"/>
      <c r="U489" s="8"/>
      <c r="V489" s="8"/>
      <c r="W489" s="8"/>
      <c r="X489" s="8"/>
    </row>
    <row r="490" spans="2:24" ht="14.5" x14ac:dyDescent="0.35">
      <c r="B490" s="8"/>
      <c r="C490" s="8"/>
      <c r="D490" s="8"/>
      <c r="E490" s="8"/>
      <c r="F490" s="8"/>
      <c r="G490" s="8"/>
      <c r="H490" s="8"/>
      <c r="I490" s="8"/>
      <c r="J490" s="91"/>
      <c r="K490" s="8"/>
      <c r="L490" s="8"/>
      <c r="M490" s="8"/>
      <c r="N490" s="8"/>
      <c r="O490" s="8"/>
      <c r="P490" s="8"/>
      <c r="Q490" s="8"/>
      <c r="R490" s="8"/>
      <c r="S490" s="8"/>
      <c r="T490" s="8"/>
      <c r="U490" s="8"/>
      <c r="V490" s="8"/>
      <c r="W490" s="8"/>
      <c r="X490" s="8"/>
    </row>
    <row r="491" spans="2:24" ht="14.5" x14ac:dyDescent="0.35">
      <c r="B491" s="8"/>
      <c r="C491" s="8"/>
      <c r="D491" s="8"/>
      <c r="E491" s="8"/>
      <c r="F491" s="8"/>
      <c r="G491" s="8"/>
      <c r="H491" s="8"/>
      <c r="I491" s="8"/>
      <c r="J491" s="91"/>
      <c r="K491" s="8"/>
      <c r="L491" s="8"/>
      <c r="M491" s="8"/>
      <c r="N491" s="8"/>
      <c r="O491" s="8"/>
      <c r="P491" s="8"/>
      <c r="Q491" s="8"/>
      <c r="R491" s="8"/>
      <c r="S491" s="8"/>
      <c r="T491" s="8"/>
      <c r="U491" s="8"/>
      <c r="V491" s="8"/>
      <c r="W491" s="8"/>
      <c r="X491" s="8"/>
    </row>
    <row r="492" spans="2:24" ht="14.5" x14ac:dyDescent="0.35">
      <c r="B492" s="8"/>
      <c r="C492" s="8"/>
      <c r="D492" s="8"/>
      <c r="E492" s="8"/>
      <c r="F492" s="8"/>
      <c r="G492" s="8"/>
      <c r="H492" s="8"/>
      <c r="I492" s="8"/>
      <c r="J492" s="91"/>
      <c r="K492" s="8"/>
      <c r="L492" s="8"/>
      <c r="M492" s="8"/>
      <c r="N492" s="8"/>
      <c r="O492" s="8"/>
      <c r="P492" s="8"/>
      <c r="Q492" s="8"/>
      <c r="R492" s="8"/>
      <c r="S492" s="8"/>
      <c r="T492" s="8"/>
      <c r="U492" s="8"/>
      <c r="V492" s="8"/>
      <c r="W492" s="8"/>
      <c r="X492" s="8"/>
    </row>
    <row r="493" spans="2:24" ht="14.5" x14ac:dyDescent="0.35">
      <c r="B493" s="8"/>
      <c r="C493" s="8"/>
      <c r="D493" s="8"/>
      <c r="E493" s="8"/>
      <c r="F493" s="8"/>
      <c r="G493" s="8"/>
      <c r="H493" s="8"/>
      <c r="I493" s="8"/>
      <c r="J493" s="91"/>
      <c r="K493" s="8"/>
      <c r="L493" s="8"/>
      <c r="M493" s="8"/>
      <c r="N493" s="8"/>
      <c r="O493" s="8"/>
      <c r="P493" s="8"/>
      <c r="Q493" s="8"/>
      <c r="R493" s="8"/>
      <c r="S493" s="8"/>
      <c r="T493" s="8"/>
      <c r="U493" s="8"/>
      <c r="V493" s="8"/>
      <c r="W493" s="8"/>
      <c r="X493" s="8"/>
    </row>
    <row r="494" spans="2:24" ht="14.5" x14ac:dyDescent="0.35">
      <c r="B494" s="8"/>
      <c r="C494" s="8"/>
      <c r="D494" s="8"/>
      <c r="E494" s="8"/>
      <c r="F494" s="8"/>
      <c r="G494" s="8"/>
      <c r="H494" s="8"/>
      <c r="I494" s="8"/>
      <c r="J494" s="91"/>
      <c r="K494" s="8"/>
      <c r="L494" s="8"/>
      <c r="M494" s="8"/>
      <c r="N494" s="8"/>
      <c r="O494" s="8"/>
      <c r="P494" s="8"/>
      <c r="Q494" s="8"/>
      <c r="R494" s="8"/>
      <c r="S494" s="8"/>
      <c r="T494" s="8"/>
      <c r="U494" s="8"/>
      <c r="V494" s="8"/>
      <c r="W494" s="8"/>
      <c r="X494" s="8"/>
    </row>
    <row r="495" spans="2:24" ht="14.5" x14ac:dyDescent="0.35">
      <c r="B495" s="8"/>
      <c r="C495" s="8"/>
      <c r="D495" s="8"/>
      <c r="E495" s="8"/>
      <c r="F495" s="8"/>
      <c r="G495" s="8"/>
      <c r="H495" s="8"/>
      <c r="I495" s="8"/>
      <c r="J495" s="91"/>
      <c r="K495" s="8"/>
      <c r="L495" s="8"/>
      <c r="M495" s="8"/>
      <c r="N495" s="8"/>
      <c r="O495" s="8"/>
      <c r="P495" s="8"/>
      <c r="Q495" s="8"/>
      <c r="R495" s="8"/>
      <c r="S495" s="8"/>
      <c r="T495" s="8"/>
      <c r="U495" s="8"/>
      <c r="V495" s="8"/>
      <c r="W495" s="8"/>
      <c r="X495" s="8"/>
    </row>
    <row r="496" spans="2:24" ht="14.5" x14ac:dyDescent="0.35">
      <c r="B496" s="8"/>
      <c r="C496" s="8"/>
      <c r="D496" s="8"/>
      <c r="E496" s="8"/>
      <c r="F496" s="8"/>
      <c r="G496" s="8"/>
      <c r="H496" s="8"/>
      <c r="I496" s="8"/>
      <c r="J496" s="91"/>
      <c r="K496" s="8"/>
      <c r="L496" s="8"/>
      <c r="M496" s="8"/>
      <c r="N496" s="8"/>
      <c r="O496" s="8"/>
      <c r="P496" s="8"/>
      <c r="Q496" s="8"/>
      <c r="R496" s="8"/>
      <c r="S496" s="8"/>
      <c r="T496" s="8"/>
      <c r="U496" s="8"/>
      <c r="V496" s="8"/>
      <c r="W496" s="8"/>
      <c r="X496" s="8"/>
    </row>
    <row r="497" spans="2:24" ht="14.5" x14ac:dyDescent="0.35">
      <c r="B497" s="8"/>
      <c r="C497" s="8"/>
      <c r="D497" s="8"/>
      <c r="E497" s="8"/>
      <c r="F497" s="8"/>
      <c r="G497" s="8"/>
      <c r="H497" s="8"/>
      <c r="I497" s="8"/>
      <c r="J497" s="91"/>
      <c r="K497" s="8"/>
      <c r="L497" s="8"/>
      <c r="M497" s="8"/>
      <c r="N497" s="8"/>
      <c r="O497" s="8"/>
      <c r="P497" s="8"/>
      <c r="Q497" s="8"/>
      <c r="R497" s="8"/>
      <c r="S497" s="8"/>
      <c r="T497" s="8"/>
      <c r="U497" s="8"/>
      <c r="V497" s="8"/>
      <c r="W497" s="8"/>
      <c r="X497" s="8"/>
    </row>
    <row r="498" spans="2:24" ht="14.5" x14ac:dyDescent="0.35">
      <c r="B498" s="8"/>
      <c r="C498" s="8"/>
      <c r="D498" s="8"/>
      <c r="E498" s="8"/>
      <c r="F498" s="8"/>
      <c r="G498" s="8"/>
      <c r="H498" s="8"/>
      <c r="I498" s="8"/>
      <c r="J498" s="91"/>
      <c r="K498" s="8"/>
      <c r="L498" s="8"/>
      <c r="M498" s="8"/>
      <c r="N498" s="8"/>
      <c r="O498" s="8"/>
      <c r="P498" s="8"/>
      <c r="Q498" s="8"/>
      <c r="R498" s="8"/>
      <c r="S498" s="8"/>
      <c r="T498" s="8"/>
      <c r="U498" s="8"/>
      <c r="V498" s="8"/>
      <c r="W498" s="8"/>
      <c r="X498" s="8"/>
    </row>
    <row r="499" spans="2:24" ht="14.5" x14ac:dyDescent="0.35">
      <c r="B499" s="8"/>
      <c r="C499" s="8"/>
      <c r="D499" s="8"/>
      <c r="E499" s="8"/>
      <c r="F499" s="8"/>
      <c r="G499" s="8"/>
      <c r="H499" s="8"/>
      <c r="I499" s="8"/>
      <c r="J499" s="91"/>
      <c r="K499" s="8"/>
      <c r="L499" s="8"/>
      <c r="M499" s="8"/>
      <c r="N499" s="8"/>
      <c r="O499" s="8"/>
      <c r="P499" s="8"/>
      <c r="Q499" s="8"/>
      <c r="R499" s="8"/>
      <c r="S499" s="8"/>
      <c r="T499" s="8"/>
      <c r="U499" s="8"/>
      <c r="V499" s="8"/>
      <c r="W499" s="8"/>
      <c r="X499" s="8"/>
    </row>
    <row r="500" spans="2:24" ht="14.5" x14ac:dyDescent="0.35">
      <c r="B500" s="8"/>
      <c r="C500" s="8"/>
      <c r="D500" s="8"/>
      <c r="E500" s="8"/>
      <c r="F500" s="8"/>
      <c r="G500" s="8"/>
      <c r="H500" s="8"/>
      <c r="I500" s="8"/>
      <c r="J500" s="91"/>
      <c r="K500" s="8"/>
      <c r="L500" s="8"/>
      <c r="M500" s="8"/>
      <c r="N500" s="8"/>
      <c r="O500" s="8"/>
      <c r="P500" s="8"/>
      <c r="Q500" s="8"/>
      <c r="R500" s="8"/>
      <c r="S500" s="8"/>
      <c r="T500" s="8"/>
      <c r="U500" s="8"/>
      <c r="V500" s="8"/>
      <c r="W500" s="8"/>
      <c r="X500" s="8"/>
    </row>
    <row r="501" spans="2:24" ht="14.5" x14ac:dyDescent="0.35">
      <c r="B501" s="8"/>
      <c r="C501" s="8"/>
      <c r="D501" s="8"/>
      <c r="E501" s="8"/>
      <c r="F501" s="8"/>
      <c r="G501" s="8"/>
      <c r="H501" s="8"/>
      <c r="I501" s="8"/>
      <c r="J501" s="91"/>
      <c r="K501" s="8"/>
      <c r="L501" s="8"/>
      <c r="M501" s="8"/>
      <c r="N501" s="8"/>
      <c r="O501" s="8"/>
      <c r="P501" s="8"/>
      <c r="Q501" s="8"/>
      <c r="R501" s="8"/>
      <c r="S501" s="8"/>
      <c r="T501" s="8"/>
      <c r="U501" s="8"/>
      <c r="V501" s="8"/>
      <c r="W501" s="8"/>
      <c r="X501" s="8"/>
    </row>
    <row r="502" spans="2:24" ht="14.5" x14ac:dyDescent="0.35">
      <c r="B502" s="8"/>
      <c r="C502" s="8"/>
      <c r="D502" s="8"/>
      <c r="E502" s="8"/>
      <c r="F502" s="8"/>
      <c r="G502" s="8"/>
      <c r="H502" s="8"/>
      <c r="I502" s="8"/>
      <c r="J502" s="91"/>
      <c r="K502" s="8"/>
      <c r="L502" s="8"/>
      <c r="M502" s="8"/>
      <c r="N502" s="8"/>
      <c r="O502" s="8"/>
      <c r="P502" s="8"/>
      <c r="Q502" s="8"/>
      <c r="R502" s="8"/>
      <c r="S502" s="8"/>
      <c r="T502" s="8"/>
      <c r="U502" s="8"/>
      <c r="V502" s="8"/>
      <c r="W502" s="8"/>
      <c r="X502" s="8"/>
    </row>
    <row r="503" spans="2:24" ht="14.5" x14ac:dyDescent="0.35">
      <c r="B503" s="8"/>
      <c r="C503" s="8"/>
      <c r="D503" s="8"/>
      <c r="E503" s="8"/>
      <c r="F503" s="8"/>
      <c r="G503" s="8"/>
      <c r="H503" s="8"/>
      <c r="I503" s="8"/>
      <c r="J503" s="91"/>
      <c r="K503" s="8"/>
      <c r="L503" s="8"/>
      <c r="M503" s="8"/>
      <c r="N503" s="8"/>
      <c r="O503" s="8"/>
      <c r="P503" s="8"/>
      <c r="Q503" s="8"/>
      <c r="R503" s="8"/>
      <c r="S503" s="8"/>
      <c r="T503" s="8"/>
      <c r="U503" s="8"/>
      <c r="V503" s="8"/>
      <c r="W503" s="8"/>
      <c r="X503" s="8"/>
    </row>
    <row r="504" spans="2:24" ht="14.5" x14ac:dyDescent="0.35">
      <c r="B504" s="8"/>
      <c r="C504" s="8"/>
      <c r="D504" s="8"/>
      <c r="E504" s="8"/>
      <c r="F504" s="8"/>
      <c r="G504" s="8"/>
      <c r="H504" s="8"/>
      <c r="I504" s="8"/>
      <c r="J504" s="91"/>
      <c r="K504" s="8"/>
      <c r="L504" s="8"/>
      <c r="M504" s="8"/>
      <c r="N504" s="8"/>
      <c r="O504" s="8"/>
      <c r="P504" s="8"/>
      <c r="Q504" s="8"/>
      <c r="R504" s="8"/>
      <c r="S504" s="8"/>
      <c r="T504" s="8"/>
      <c r="U504" s="8"/>
      <c r="V504" s="8"/>
      <c r="W504" s="8"/>
      <c r="X504" s="8"/>
    </row>
    <row r="505" spans="2:24" ht="14.5" x14ac:dyDescent="0.35">
      <c r="B505" s="8"/>
      <c r="C505" s="8"/>
      <c r="D505" s="8"/>
      <c r="E505" s="8"/>
      <c r="F505" s="8"/>
      <c r="G505" s="8"/>
      <c r="H505" s="8"/>
      <c r="I505" s="8"/>
      <c r="J505" s="91"/>
      <c r="K505" s="8"/>
      <c r="L505" s="8"/>
      <c r="M505" s="8"/>
      <c r="N505" s="8"/>
      <c r="O505" s="8"/>
      <c r="P505" s="8"/>
      <c r="Q505" s="8"/>
      <c r="R505" s="8"/>
      <c r="S505" s="8"/>
      <c r="T505" s="8"/>
      <c r="U505" s="8"/>
      <c r="V505" s="8"/>
      <c r="W505" s="8"/>
      <c r="X505" s="8"/>
    </row>
    <row r="506" spans="2:24" ht="14.5" x14ac:dyDescent="0.35">
      <c r="B506" s="8"/>
      <c r="C506" s="8"/>
      <c r="D506" s="8"/>
      <c r="E506" s="8"/>
      <c r="F506" s="8"/>
      <c r="G506" s="8"/>
      <c r="H506" s="8"/>
      <c r="I506" s="8"/>
      <c r="J506" s="91"/>
      <c r="K506" s="8"/>
      <c r="L506" s="8"/>
      <c r="M506" s="8"/>
      <c r="N506" s="8"/>
      <c r="O506" s="8"/>
      <c r="P506" s="8"/>
      <c r="Q506" s="8"/>
      <c r="R506" s="8"/>
      <c r="S506" s="8"/>
      <c r="T506" s="8"/>
      <c r="U506" s="8"/>
      <c r="V506" s="8"/>
      <c r="W506" s="8"/>
      <c r="X506" s="8"/>
    </row>
    <row r="507" spans="2:24" ht="14.5" x14ac:dyDescent="0.35">
      <c r="B507" s="8"/>
      <c r="C507" s="8"/>
      <c r="D507" s="8"/>
      <c r="E507" s="8"/>
      <c r="F507" s="8"/>
      <c r="G507" s="8"/>
      <c r="H507" s="8"/>
      <c r="I507" s="8"/>
      <c r="J507" s="91"/>
      <c r="K507" s="8"/>
      <c r="L507" s="8"/>
      <c r="M507" s="8"/>
      <c r="N507" s="8"/>
      <c r="O507" s="8"/>
      <c r="P507" s="8"/>
      <c r="Q507" s="8"/>
      <c r="R507" s="8"/>
      <c r="S507" s="8"/>
      <c r="T507" s="8"/>
      <c r="U507" s="8"/>
      <c r="V507" s="8"/>
      <c r="W507" s="8"/>
      <c r="X507" s="8"/>
    </row>
    <row r="508" spans="2:24" ht="14.5" x14ac:dyDescent="0.35">
      <c r="B508" s="8"/>
      <c r="C508" s="8"/>
      <c r="D508" s="8"/>
      <c r="E508" s="8"/>
      <c r="F508" s="8"/>
      <c r="G508" s="8"/>
      <c r="H508" s="8"/>
      <c r="I508" s="8"/>
      <c r="J508" s="91"/>
      <c r="K508" s="8"/>
      <c r="L508" s="8"/>
      <c r="M508" s="8"/>
      <c r="N508" s="8"/>
      <c r="O508" s="8"/>
      <c r="P508" s="8"/>
      <c r="Q508" s="8"/>
      <c r="R508" s="8"/>
      <c r="S508" s="8"/>
      <c r="T508" s="8"/>
      <c r="U508" s="8"/>
      <c r="V508" s="8"/>
      <c r="W508" s="8"/>
      <c r="X508" s="8"/>
    </row>
    <row r="509" spans="2:24" ht="14.5" x14ac:dyDescent="0.35">
      <c r="B509" s="8"/>
      <c r="C509" s="8"/>
      <c r="D509" s="8"/>
      <c r="E509" s="8"/>
      <c r="F509" s="8"/>
      <c r="G509" s="8"/>
      <c r="H509" s="8"/>
      <c r="I509" s="8"/>
      <c r="J509" s="91"/>
      <c r="K509" s="8"/>
      <c r="L509" s="8"/>
      <c r="M509" s="8"/>
      <c r="N509" s="8"/>
      <c r="O509" s="8"/>
      <c r="P509" s="8"/>
      <c r="Q509" s="8"/>
      <c r="R509" s="8"/>
      <c r="S509" s="8"/>
      <c r="T509" s="8"/>
      <c r="U509" s="8"/>
      <c r="V509" s="8"/>
      <c r="W509" s="8"/>
      <c r="X509" s="8"/>
    </row>
    <row r="510" spans="2:24" ht="14.5" x14ac:dyDescent="0.35">
      <c r="B510" s="8"/>
      <c r="C510" s="8"/>
      <c r="D510" s="8"/>
      <c r="E510" s="8"/>
      <c r="F510" s="8"/>
      <c r="G510" s="8"/>
      <c r="H510" s="8"/>
      <c r="I510" s="8"/>
      <c r="J510" s="91"/>
      <c r="K510" s="8"/>
      <c r="L510" s="8"/>
      <c r="M510" s="8"/>
      <c r="N510" s="8"/>
      <c r="O510" s="8"/>
      <c r="P510" s="8"/>
      <c r="Q510" s="8"/>
      <c r="R510" s="8"/>
      <c r="S510" s="8"/>
      <c r="T510" s="8"/>
      <c r="U510" s="8"/>
      <c r="V510" s="8"/>
      <c r="W510" s="8"/>
      <c r="X510" s="8"/>
    </row>
    <row r="511" spans="2:24" ht="14.5" x14ac:dyDescent="0.35">
      <c r="B511" s="8"/>
      <c r="C511" s="8"/>
      <c r="D511" s="8"/>
      <c r="E511" s="8"/>
      <c r="F511" s="8"/>
      <c r="G511" s="8"/>
      <c r="H511" s="8"/>
      <c r="I511" s="8"/>
      <c r="J511" s="91"/>
      <c r="K511" s="8"/>
      <c r="L511" s="8"/>
      <c r="M511" s="8"/>
      <c r="N511" s="8"/>
      <c r="O511" s="8"/>
      <c r="P511" s="8"/>
      <c r="Q511" s="8"/>
      <c r="R511" s="8"/>
      <c r="S511" s="8"/>
      <c r="T511" s="8"/>
      <c r="U511" s="8"/>
      <c r="V511" s="8"/>
      <c r="W511" s="8"/>
      <c r="X511" s="8"/>
    </row>
    <row r="512" spans="2:24" ht="14.5" x14ac:dyDescent="0.35">
      <c r="B512" s="8"/>
      <c r="C512" s="8"/>
      <c r="D512" s="8"/>
      <c r="E512" s="8"/>
      <c r="F512" s="8"/>
      <c r="G512" s="8"/>
      <c r="H512" s="8"/>
      <c r="I512" s="8"/>
      <c r="J512" s="91"/>
      <c r="K512" s="8"/>
      <c r="L512" s="8"/>
      <c r="M512" s="8"/>
      <c r="N512" s="8"/>
      <c r="O512" s="8"/>
      <c r="P512" s="8"/>
      <c r="Q512" s="8"/>
      <c r="R512" s="8"/>
      <c r="S512" s="8"/>
      <c r="T512" s="8"/>
      <c r="U512" s="8"/>
      <c r="V512" s="8"/>
      <c r="W512" s="8"/>
      <c r="X512" s="8"/>
    </row>
    <row r="513" spans="2:24" ht="14.5" x14ac:dyDescent="0.35">
      <c r="B513" s="8"/>
      <c r="C513" s="8"/>
      <c r="D513" s="8"/>
      <c r="E513" s="8"/>
      <c r="F513" s="8"/>
      <c r="G513" s="8"/>
      <c r="H513" s="8"/>
      <c r="I513" s="8"/>
      <c r="J513" s="91"/>
      <c r="K513" s="8"/>
      <c r="L513" s="8"/>
      <c r="M513" s="8"/>
      <c r="N513" s="8"/>
      <c r="O513" s="8"/>
      <c r="P513" s="8"/>
      <c r="Q513" s="8"/>
      <c r="R513" s="8"/>
      <c r="S513" s="8"/>
      <c r="T513" s="8"/>
      <c r="U513" s="8"/>
      <c r="V513" s="8"/>
      <c r="W513" s="8"/>
      <c r="X513" s="8"/>
    </row>
    <row r="514" spans="2:24" ht="14.5" x14ac:dyDescent="0.35">
      <c r="B514" s="8"/>
      <c r="C514" s="8"/>
      <c r="D514" s="8"/>
      <c r="E514" s="8"/>
      <c r="F514" s="8"/>
      <c r="G514" s="8"/>
      <c r="H514" s="8"/>
      <c r="I514" s="8"/>
      <c r="J514" s="91"/>
      <c r="K514" s="8"/>
      <c r="L514" s="8"/>
      <c r="M514" s="8"/>
      <c r="N514" s="8"/>
      <c r="O514" s="8"/>
      <c r="P514" s="8"/>
      <c r="Q514" s="8"/>
      <c r="R514" s="8"/>
      <c r="S514" s="8"/>
      <c r="T514" s="8"/>
      <c r="U514" s="8"/>
      <c r="V514" s="8"/>
      <c r="W514" s="8"/>
      <c r="X514" s="8"/>
    </row>
    <row r="515" spans="2:24" ht="14.5" x14ac:dyDescent="0.35">
      <c r="B515" s="8"/>
      <c r="C515" s="8"/>
      <c r="D515" s="8"/>
      <c r="E515" s="8"/>
      <c r="F515" s="8"/>
      <c r="G515" s="8"/>
      <c r="H515" s="8"/>
      <c r="I515" s="8"/>
      <c r="J515" s="91"/>
      <c r="K515" s="8"/>
      <c r="L515" s="8"/>
      <c r="M515" s="8"/>
      <c r="N515" s="8"/>
      <c r="O515" s="8"/>
      <c r="P515" s="8"/>
      <c r="Q515" s="8"/>
      <c r="R515" s="8"/>
      <c r="S515" s="8"/>
      <c r="T515" s="8"/>
      <c r="U515" s="8"/>
      <c r="V515" s="8"/>
      <c r="W515" s="8"/>
      <c r="X515" s="8"/>
    </row>
    <row r="516" spans="2:24" ht="14.5" x14ac:dyDescent="0.35">
      <c r="B516" s="8"/>
      <c r="C516" s="8"/>
      <c r="D516" s="8"/>
      <c r="E516" s="8"/>
      <c r="F516" s="8"/>
      <c r="G516" s="8"/>
      <c r="H516" s="8"/>
      <c r="I516" s="8"/>
      <c r="J516" s="91"/>
      <c r="K516" s="8"/>
      <c r="L516" s="8"/>
      <c r="M516" s="8"/>
      <c r="N516" s="8"/>
      <c r="O516" s="8"/>
      <c r="P516" s="8"/>
      <c r="Q516" s="8"/>
      <c r="R516" s="8"/>
      <c r="S516" s="8"/>
      <c r="T516" s="8"/>
      <c r="U516" s="8"/>
      <c r="V516" s="8"/>
      <c r="W516" s="8"/>
      <c r="X516" s="8"/>
    </row>
    <row r="517" spans="2:24" ht="14.5" x14ac:dyDescent="0.35">
      <c r="B517" s="8"/>
      <c r="C517" s="8"/>
      <c r="D517" s="8"/>
      <c r="E517" s="8"/>
      <c r="F517" s="8"/>
      <c r="G517" s="8"/>
      <c r="H517" s="8"/>
      <c r="I517" s="8"/>
      <c r="J517" s="91"/>
      <c r="K517" s="8"/>
      <c r="L517" s="8"/>
      <c r="M517" s="8"/>
      <c r="N517" s="8"/>
      <c r="O517" s="8"/>
      <c r="P517" s="8"/>
      <c r="Q517" s="8"/>
      <c r="R517" s="8"/>
      <c r="S517" s="8"/>
      <c r="T517" s="8"/>
      <c r="U517" s="8"/>
      <c r="V517" s="8"/>
      <c r="W517" s="8"/>
      <c r="X517" s="8"/>
    </row>
    <row r="518" spans="2:24" ht="14.5" x14ac:dyDescent="0.35">
      <c r="B518" s="8"/>
      <c r="C518" s="8"/>
      <c r="D518" s="8"/>
      <c r="E518" s="8"/>
      <c r="F518" s="8"/>
      <c r="G518" s="8"/>
      <c r="H518" s="8"/>
      <c r="I518" s="8"/>
      <c r="J518" s="91"/>
      <c r="K518" s="8"/>
      <c r="L518" s="8"/>
      <c r="M518" s="8"/>
      <c r="N518" s="8"/>
      <c r="O518" s="8"/>
      <c r="P518" s="8"/>
      <c r="Q518" s="8"/>
      <c r="R518" s="8"/>
      <c r="S518" s="8"/>
      <c r="T518" s="8"/>
      <c r="U518" s="8"/>
      <c r="V518" s="8"/>
      <c r="W518" s="8"/>
      <c r="X518" s="8"/>
    </row>
    <row r="519" spans="2:24" ht="14.5" x14ac:dyDescent="0.35">
      <c r="B519" s="8"/>
      <c r="C519" s="8"/>
      <c r="D519" s="8"/>
      <c r="E519" s="8"/>
      <c r="F519" s="8"/>
      <c r="G519" s="8"/>
      <c r="H519" s="8"/>
      <c r="I519" s="8"/>
      <c r="J519" s="91"/>
      <c r="K519" s="8"/>
      <c r="L519" s="8"/>
      <c r="M519" s="8"/>
      <c r="N519" s="8"/>
      <c r="O519" s="8"/>
      <c r="P519" s="8"/>
      <c r="Q519" s="8"/>
      <c r="R519" s="8"/>
      <c r="S519" s="8"/>
      <c r="T519" s="8"/>
      <c r="U519" s="8"/>
      <c r="V519" s="8"/>
      <c r="W519" s="8"/>
      <c r="X519" s="8"/>
    </row>
    <row r="520" spans="2:24" ht="14.5" x14ac:dyDescent="0.35">
      <c r="B520" s="8"/>
      <c r="C520" s="8"/>
      <c r="D520" s="8"/>
      <c r="E520" s="8"/>
      <c r="F520" s="8"/>
      <c r="G520" s="8"/>
      <c r="H520" s="8"/>
      <c r="I520" s="8"/>
      <c r="J520" s="91"/>
      <c r="K520" s="8"/>
      <c r="L520" s="8"/>
      <c r="M520" s="8"/>
      <c r="N520" s="8"/>
      <c r="O520" s="8"/>
      <c r="P520" s="8"/>
      <c r="Q520" s="8"/>
      <c r="R520" s="8"/>
      <c r="S520" s="8"/>
      <c r="T520" s="8"/>
      <c r="U520" s="8"/>
      <c r="V520" s="8"/>
      <c r="W520" s="8"/>
      <c r="X520" s="8"/>
    </row>
    <row r="521" spans="2:24" ht="14.5" x14ac:dyDescent="0.35">
      <c r="B521" s="8"/>
      <c r="C521" s="8"/>
      <c r="D521" s="8"/>
      <c r="E521" s="8"/>
      <c r="F521" s="8"/>
      <c r="G521" s="8"/>
      <c r="H521" s="8"/>
      <c r="I521" s="8"/>
      <c r="J521" s="91"/>
      <c r="K521" s="8"/>
      <c r="L521" s="8"/>
      <c r="M521" s="8"/>
      <c r="N521" s="8"/>
      <c r="O521" s="8"/>
      <c r="P521" s="8"/>
      <c r="Q521" s="8"/>
      <c r="R521" s="8"/>
      <c r="S521" s="8"/>
      <c r="T521" s="8"/>
      <c r="U521" s="8"/>
      <c r="V521" s="8"/>
      <c r="W521" s="8"/>
      <c r="X521" s="8"/>
    </row>
    <row r="522" spans="2:24" ht="14.5" x14ac:dyDescent="0.35">
      <c r="B522" s="8"/>
      <c r="C522" s="8"/>
      <c r="D522" s="8"/>
      <c r="E522" s="8"/>
      <c r="F522" s="8"/>
      <c r="G522" s="8"/>
      <c r="H522" s="8"/>
      <c r="I522" s="8"/>
      <c r="J522" s="91"/>
      <c r="K522" s="8"/>
      <c r="L522" s="8"/>
      <c r="M522" s="8"/>
      <c r="N522" s="8"/>
      <c r="O522" s="8"/>
      <c r="P522" s="8"/>
      <c r="Q522" s="8"/>
      <c r="R522" s="8"/>
      <c r="S522" s="8"/>
      <c r="T522" s="8"/>
      <c r="U522" s="8"/>
      <c r="V522" s="8"/>
      <c r="W522" s="8"/>
      <c r="X522" s="8"/>
    </row>
    <row r="523" spans="2:24" ht="14.5" x14ac:dyDescent="0.35">
      <c r="B523" s="8"/>
      <c r="C523" s="8"/>
      <c r="D523" s="8"/>
      <c r="E523" s="8"/>
      <c r="F523" s="8"/>
      <c r="G523" s="8"/>
      <c r="H523" s="8"/>
      <c r="I523" s="8"/>
      <c r="J523" s="91"/>
      <c r="K523" s="8"/>
      <c r="L523" s="8"/>
      <c r="M523" s="8"/>
      <c r="N523" s="8"/>
      <c r="O523" s="8"/>
      <c r="P523" s="8"/>
      <c r="Q523" s="8"/>
      <c r="R523" s="8"/>
      <c r="S523" s="8"/>
      <c r="T523" s="8"/>
      <c r="U523" s="8"/>
      <c r="V523" s="8"/>
      <c r="W523" s="8"/>
      <c r="X523" s="8"/>
    </row>
    <row r="524" spans="2:24" ht="14.5" x14ac:dyDescent="0.35">
      <c r="B524" s="8"/>
      <c r="C524" s="8"/>
      <c r="D524" s="8"/>
      <c r="E524" s="8"/>
      <c r="F524" s="8"/>
      <c r="G524" s="8"/>
      <c r="H524" s="8"/>
      <c r="I524" s="8"/>
      <c r="J524" s="91"/>
      <c r="K524" s="8"/>
      <c r="L524" s="8"/>
      <c r="M524" s="8"/>
      <c r="N524" s="8"/>
      <c r="O524" s="8"/>
      <c r="P524" s="8"/>
      <c r="Q524" s="8"/>
      <c r="R524" s="8"/>
      <c r="S524" s="8"/>
      <c r="T524" s="8"/>
      <c r="U524" s="8"/>
      <c r="V524" s="8"/>
      <c r="W524" s="8"/>
      <c r="X524" s="8"/>
    </row>
    <row r="525" spans="2:24" ht="14.5" x14ac:dyDescent="0.35">
      <c r="B525" s="8"/>
      <c r="C525" s="8"/>
      <c r="D525" s="8"/>
      <c r="E525" s="8"/>
      <c r="F525" s="8"/>
      <c r="G525" s="8"/>
      <c r="H525" s="8"/>
      <c r="I525" s="8"/>
      <c r="J525" s="91"/>
      <c r="K525" s="8"/>
      <c r="L525" s="8"/>
      <c r="M525" s="8"/>
      <c r="N525" s="8"/>
      <c r="O525" s="8"/>
      <c r="P525" s="8"/>
      <c r="Q525" s="8"/>
      <c r="R525" s="8"/>
      <c r="S525" s="8"/>
      <c r="T525" s="8"/>
      <c r="U525" s="8"/>
      <c r="V525" s="8"/>
      <c r="W525" s="8"/>
      <c r="X525" s="8"/>
    </row>
    <row r="526" spans="2:24" ht="14.5" x14ac:dyDescent="0.35">
      <c r="B526" s="8"/>
      <c r="C526" s="8"/>
      <c r="D526" s="8"/>
      <c r="E526" s="8"/>
      <c r="F526" s="8"/>
      <c r="G526" s="8"/>
      <c r="H526" s="8"/>
      <c r="I526" s="8"/>
      <c r="J526" s="91"/>
      <c r="K526" s="8"/>
      <c r="L526" s="8"/>
      <c r="M526" s="8"/>
      <c r="N526" s="8"/>
      <c r="O526" s="8"/>
      <c r="P526" s="8"/>
      <c r="Q526" s="8"/>
      <c r="R526" s="8"/>
      <c r="S526" s="8"/>
      <c r="T526" s="8"/>
      <c r="U526" s="8"/>
      <c r="V526" s="8"/>
      <c r="W526" s="8"/>
      <c r="X526" s="8"/>
    </row>
    <row r="527" spans="2:24" ht="14.5" x14ac:dyDescent="0.35">
      <c r="B527" s="8"/>
      <c r="C527" s="8"/>
      <c r="D527" s="8"/>
      <c r="E527" s="8"/>
      <c r="F527" s="8"/>
      <c r="G527" s="8"/>
      <c r="H527" s="8"/>
      <c r="I527" s="8"/>
      <c r="J527" s="91"/>
      <c r="K527" s="8"/>
      <c r="L527" s="8"/>
      <c r="M527" s="8"/>
      <c r="N527" s="8"/>
      <c r="O527" s="8"/>
      <c r="P527" s="8"/>
      <c r="Q527" s="8"/>
      <c r="R527" s="8"/>
      <c r="S527" s="8"/>
      <c r="T527" s="8"/>
      <c r="U527" s="8"/>
      <c r="V527" s="8"/>
      <c r="W527" s="8"/>
      <c r="X527" s="8"/>
    </row>
    <row r="528" spans="2:24" ht="14.5" x14ac:dyDescent="0.35">
      <c r="B528" s="8"/>
      <c r="C528" s="8"/>
      <c r="D528" s="8"/>
      <c r="E528" s="8"/>
      <c r="F528" s="8"/>
      <c r="G528" s="8"/>
      <c r="H528" s="8"/>
      <c r="I528" s="8"/>
      <c r="J528" s="91"/>
      <c r="K528" s="8"/>
      <c r="L528" s="8"/>
      <c r="M528" s="8"/>
      <c r="N528" s="8"/>
      <c r="O528" s="8"/>
      <c r="P528" s="8"/>
      <c r="Q528" s="8"/>
      <c r="R528" s="8"/>
      <c r="S528" s="8"/>
      <c r="T528" s="8"/>
      <c r="U528" s="8"/>
      <c r="V528" s="8"/>
      <c r="W528" s="8"/>
      <c r="X528" s="8"/>
    </row>
    <row r="529" spans="2:24" ht="14.5" x14ac:dyDescent="0.35">
      <c r="B529" s="8"/>
      <c r="C529" s="8"/>
      <c r="D529" s="8"/>
      <c r="E529" s="8"/>
      <c r="F529" s="8"/>
      <c r="G529" s="8"/>
      <c r="H529" s="8"/>
      <c r="I529" s="8"/>
      <c r="J529" s="91"/>
      <c r="K529" s="8"/>
      <c r="L529" s="8"/>
      <c r="M529" s="8"/>
      <c r="N529" s="8"/>
      <c r="O529" s="8"/>
      <c r="P529" s="8"/>
      <c r="Q529" s="8"/>
      <c r="R529" s="8"/>
      <c r="S529" s="8"/>
      <c r="T529" s="8"/>
      <c r="U529" s="8"/>
      <c r="V529" s="8"/>
      <c r="W529" s="8"/>
      <c r="X529" s="8"/>
    </row>
    <row r="530" spans="2:24" ht="14.5" x14ac:dyDescent="0.35">
      <c r="B530" s="8"/>
      <c r="C530" s="8"/>
      <c r="D530" s="8"/>
      <c r="E530" s="8"/>
      <c r="F530" s="8"/>
      <c r="G530" s="8"/>
      <c r="H530" s="8"/>
      <c r="I530" s="8"/>
      <c r="J530" s="91"/>
      <c r="K530" s="8"/>
      <c r="L530" s="8"/>
      <c r="M530" s="8"/>
      <c r="N530" s="8"/>
      <c r="O530" s="8"/>
      <c r="P530" s="8"/>
      <c r="Q530" s="8"/>
      <c r="R530" s="8"/>
      <c r="S530" s="8"/>
      <c r="T530" s="8"/>
      <c r="U530" s="8"/>
      <c r="V530" s="8"/>
      <c r="W530" s="8"/>
      <c r="X530" s="8"/>
    </row>
    <row r="531" spans="2:24" ht="14.5" x14ac:dyDescent="0.35">
      <c r="B531" s="8"/>
      <c r="C531" s="8"/>
      <c r="D531" s="8"/>
      <c r="E531" s="8"/>
      <c r="F531" s="8"/>
      <c r="G531" s="8"/>
      <c r="H531" s="8"/>
      <c r="I531" s="8"/>
      <c r="J531" s="91"/>
      <c r="K531" s="8"/>
      <c r="L531" s="8"/>
      <c r="M531" s="8"/>
      <c r="N531" s="8"/>
      <c r="O531" s="8"/>
      <c r="P531" s="8"/>
      <c r="Q531" s="8"/>
      <c r="R531" s="8"/>
      <c r="S531" s="8"/>
      <c r="T531" s="8"/>
      <c r="U531" s="8"/>
      <c r="V531" s="8"/>
      <c r="W531" s="8"/>
      <c r="X531" s="8"/>
    </row>
    <row r="532" spans="2:24" ht="14.5" x14ac:dyDescent="0.35">
      <c r="B532" s="8"/>
      <c r="C532" s="8"/>
      <c r="D532" s="8"/>
      <c r="E532" s="8"/>
      <c r="F532" s="8"/>
      <c r="G532" s="8"/>
      <c r="H532" s="8"/>
      <c r="I532" s="8"/>
      <c r="J532" s="91"/>
      <c r="K532" s="8"/>
      <c r="L532" s="8"/>
      <c r="M532" s="8"/>
      <c r="N532" s="8"/>
      <c r="O532" s="8"/>
      <c r="P532" s="8"/>
      <c r="Q532" s="8"/>
      <c r="R532" s="8"/>
      <c r="S532" s="8"/>
      <c r="T532" s="8"/>
      <c r="U532" s="8"/>
      <c r="V532" s="8"/>
      <c r="W532" s="8"/>
      <c r="X532" s="8"/>
    </row>
    <row r="533" spans="2:24" ht="14.5" x14ac:dyDescent="0.35">
      <c r="B533" s="8"/>
      <c r="C533" s="8"/>
      <c r="D533" s="8"/>
      <c r="E533" s="8"/>
      <c r="F533" s="8"/>
      <c r="G533" s="8"/>
      <c r="H533" s="8"/>
      <c r="I533" s="8"/>
      <c r="J533" s="91"/>
      <c r="K533" s="8"/>
      <c r="L533" s="8"/>
      <c r="M533" s="8"/>
      <c r="N533" s="8"/>
      <c r="O533" s="8"/>
      <c r="P533" s="8"/>
      <c r="Q533" s="8"/>
      <c r="R533" s="8"/>
      <c r="S533" s="8"/>
      <c r="T533" s="8"/>
      <c r="U533" s="8"/>
      <c r="V533" s="8"/>
      <c r="W533" s="8"/>
      <c r="X533" s="8"/>
    </row>
    <row r="534" spans="2:24" ht="14.5" x14ac:dyDescent="0.35">
      <c r="B534" s="8"/>
      <c r="C534" s="8"/>
      <c r="D534" s="8"/>
      <c r="E534" s="8"/>
      <c r="F534" s="8"/>
      <c r="G534" s="8"/>
      <c r="H534" s="8"/>
      <c r="I534" s="8"/>
      <c r="J534" s="91"/>
      <c r="K534" s="8"/>
      <c r="L534" s="8"/>
      <c r="M534" s="8"/>
      <c r="N534" s="8"/>
      <c r="O534" s="8"/>
      <c r="P534" s="8"/>
      <c r="Q534" s="8"/>
      <c r="R534" s="8"/>
      <c r="S534" s="8"/>
      <c r="T534" s="8"/>
      <c r="U534" s="8"/>
      <c r="V534" s="8"/>
      <c r="W534" s="8"/>
      <c r="X534" s="8"/>
    </row>
    <row r="535" spans="2:24" ht="14.5" x14ac:dyDescent="0.35">
      <c r="B535" s="8"/>
      <c r="C535" s="8"/>
      <c r="D535" s="8"/>
      <c r="E535" s="8"/>
      <c r="F535" s="8"/>
      <c r="G535" s="8"/>
      <c r="H535" s="8"/>
      <c r="I535" s="8"/>
      <c r="J535" s="91"/>
      <c r="K535" s="8"/>
      <c r="L535" s="8"/>
      <c r="M535" s="8"/>
      <c r="N535" s="8"/>
      <c r="O535" s="8"/>
      <c r="P535" s="8"/>
      <c r="Q535" s="8"/>
      <c r="R535" s="8"/>
      <c r="S535" s="8"/>
      <c r="T535" s="8"/>
      <c r="U535" s="8"/>
      <c r="V535" s="8"/>
      <c r="W535" s="8"/>
      <c r="X535" s="8"/>
    </row>
    <row r="536" spans="2:24" ht="14.5" x14ac:dyDescent="0.35">
      <c r="B536" s="8"/>
      <c r="C536" s="8"/>
      <c r="D536" s="8"/>
      <c r="E536" s="8"/>
      <c r="F536" s="8"/>
      <c r="G536" s="8"/>
      <c r="H536" s="8"/>
      <c r="I536" s="8"/>
      <c r="J536" s="91"/>
      <c r="K536" s="8"/>
      <c r="L536" s="8"/>
      <c r="M536" s="8"/>
      <c r="N536" s="8"/>
      <c r="O536" s="8"/>
      <c r="P536" s="8"/>
      <c r="Q536" s="8"/>
      <c r="R536" s="8"/>
      <c r="S536" s="8"/>
      <c r="T536" s="8"/>
      <c r="U536" s="8"/>
      <c r="V536" s="8"/>
      <c r="W536" s="8"/>
      <c r="X536" s="8"/>
    </row>
    <row r="537" spans="2:24" ht="14.5" x14ac:dyDescent="0.35">
      <c r="B537" s="8"/>
      <c r="C537" s="8"/>
      <c r="D537" s="8"/>
      <c r="E537" s="8"/>
      <c r="F537" s="8"/>
      <c r="G537" s="8"/>
      <c r="H537" s="8"/>
      <c r="I537" s="8"/>
      <c r="J537" s="91"/>
      <c r="K537" s="8"/>
      <c r="L537" s="8"/>
      <c r="M537" s="8"/>
      <c r="N537" s="8"/>
      <c r="O537" s="8"/>
      <c r="P537" s="8"/>
      <c r="Q537" s="8"/>
      <c r="R537" s="8"/>
      <c r="S537" s="8"/>
      <c r="T537" s="8"/>
      <c r="U537" s="8"/>
      <c r="V537" s="8"/>
      <c r="W537" s="8"/>
      <c r="X537" s="8"/>
    </row>
    <row r="538" spans="2:24" ht="14.5" x14ac:dyDescent="0.35">
      <c r="B538" s="8"/>
      <c r="C538" s="8"/>
      <c r="D538" s="8"/>
      <c r="E538" s="8"/>
      <c r="F538" s="8"/>
      <c r="G538" s="8"/>
      <c r="H538" s="8"/>
      <c r="I538" s="8"/>
      <c r="J538" s="91"/>
      <c r="K538" s="8"/>
      <c r="L538" s="8"/>
      <c r="M538" s="8"/>
      <c r="N538" s="8"/>
      <c r="O538" s="8"/>
      <c r="P538" s="8"/>
      <c r="Q538" s="8"/>
      <c r="R538" s="8"/>
      <c r="S538" s="8"/>
      <c r="T538" s="8"/>
      <c r="U538" s="8"/>
      <c r="V538" s="8"/>
      <c r="W538" s="8"/>
      <c r="X538" s="8"/>
    </row>
    <row r="539" spans="2:24" ht="14.5" x14ac:dyDescent="0.35">
      <c r="B539" s="8"/>
      <c r="C539" s="8"/>
      <c r="D539" s="8"/>
      <c r="E539" s="8"/>
      <c r="F539" s="8"/>
      <c r="G539" s="8"/>
      <c r="H539" s="8"/>
      <c r="I539" s="8"/>
      <c r="J539" s="91"/>
      <c r="K539" s="8"/>
      <c r="L539" s="8"/>
      <c r="M539" s="8"/>
      <c r="N539" s="8"/>
      <c r="O539" s="8"/>
      <c r="P539" s="8"/>
      <c r="Q539" s="8"/>
      <c r="R539" s="8"/>
      <c r="S539" s="8"/>
      <c r="T539" s="8"/>
      <c r="U539" s="8"/>
      <c r="V539" s="8"/>
      <c r="W539" s="8"/>
      <c r="X539" s="8"/>
    </row>
    <row r="540" spans="2:24" ht="14.5" x14ac:dyDescent="0.35">
      <c r="B540" s="8"/>
      <c r="C540" s="8"/>
      <c r="D540" s="8"/>
      <c r="E540" s="8"/>
      <c r="F540" s="8"/>
      <c r="G540" s="8"/>
      <c r="H540" s="8"/>
      <c r="I540" s="8"/>
      <c r="J540" s="91"/>
      <c r="K540" s="8"/>
      <c r="L540" s="8"/>
      <c r="M540" s="8"/>
      <c r="N540" s="8"/>
      <c r="O540" s="8"/>
      <c r="P540" s="8"/>
      <c r="Q540" s="8"/>
      <c r="R540" s="8"/>
      <c r="S540" s="8"/>
      <c r="T540" s="8"/>
      <c r="U540" s="8"/>
      <c r="V540" s="8"/>
      <c r="W540" s="8"/>
      <c r="X540" s="8"/>
    </row>
    <row r="541" spans="2:24" ht="14.5" x14ac:dyDescent="0.35">
      <c r="B541" s="8"/>
      <c r="C541" s="8"/>
      <c r="D541" s="8"/>
      <c r="E541" s="8"/>
      <c r="F541" s="8"/>
      <c r="G541" s="8"/>
      <c r="H541" s="8"/>
      <c r="I541" s="8"/>
      <c r="J541" s="91"/>
      <c r="K541" s="8"/>
      <c r="L541" s="8"/>
      <c r="M541" s="8"/>
      <c r="N541" s="8"/>
      <c r="O541" s="8"/>
      <c r="P541" s="8"/>
      <c r="Q541" s="8"/>
      <c r="R541" s="8"/>
      <c r="S541" s="8"/>
      <c r="T541" s="8"/>
      <c r="U541" s="8"/>
      <c r="V541" s="8"/>
      <c r="W541" s="8"/>
      <c r="X541" s="8"/>
    </row>
    <row r="542" spans="2:24" ht="14.5" x14ac:dyDescent="0.35">
      <c r="B542" s="8"/>
      <c r="C542" s="8"/>
      <c r="D542" s="8"/>
      <c r="E542" s="8"/>
      <c r="F542" s="8"/>
      <c r="G542" s="8"/>
      <c r="H542" s="8"/>
      <c r="I542" s="8"/>
      <c r="J542" s="91"/>
      <c r="K542" s="8"/>
      <c r="L542" s="8"/>
      <c r="M542" s="8"/>
      <c r="N542" s="8"/>
      <c r="O542" s="8"/>
      <c r="P542" s="8"/>
      <c r="Q542" s="8"/>
      <c r="R542" s="8"/>
      <c r="S542" s="8"/>
      <c r="T542" s="8"/>
      <c r="U542" s="8"/>
      <c r="V542" s="8"/>
      <c r="W542" s="8"/>
      <c r="X542" s="8"/>
    </row>
    <row r="543" spans="2:24" ht="14.5" x14ac:dyDescent="0.35">
      <c r="B543" s="8"/>
      <c r="C543" s="8"/>
      <c r="D543" s="8"/>
      <c r="E543" s="8"/>
      <c r="F543" s="8"/>
      <c r="G543" s="8"/>
      <c r="H543" s="8"/>
      <c r="I543" s="8"/>
      <c r="J543" s="91"/>
      <c r="K543" s="8"/>
      <c r="L543" s="8"/>
      <c r="M543" s="8"/>
      <c r="N543" s="8"/>
      <c r="O543" s="8"/>
      <c r="P543" s="8"/>
      <c r="Q543" s="8"/>
      <c r="R543" s="8"/>
      <c r="S543" s="8"/>
      <c r="T543" s="8"/>
      <c r="U543" s="8"/>
      <c r="V543" s="8"/>
      <c r="W543" s="8"/>
      <c r="X543" s="8"/>
    </row>
    <row r="544" spans="2:24" ht="14.5" x14ac:dyDescent="0.35">
      <c r="B544" s="8"/>
      <c r="C544" s="8"/>
      <c r="D544" s="8"/>
      <c r="E544" s="8"/>
      <c r="F544" s="8"/>
      <c r="G544" s="8"/>
      <c r="H544" s="8"/>
      <c r="I544" s="8"/>
      <c r="J544" s="91"/>
      <c r="K544" s="8"/>
      <c r="L544" s="8"/>
      <c r="M544" s="8"/>
      <c r="N544" s="8"/>
      <c r="O544" s="8"/>
      <c r="P544" s="8"/>
      <c r="Q544" s="8"/>
      <c r="R544" s="8"/>
      <c r="S544" s="8"/>
      <c r="T544" s="8"/>
      <c r="U544" s="8"/>
      <c r="V544" s="8"/>
      <c r="W544" s="8"/>
      <c r="X544" s="8"/>
    </row>
    <row r="545" spans="2:24" ht="14.5" x14ac:dyDescent="0.35">
      <c r="B545" s="8"/>
      <c r="C545" s="8"/>
      <c r="D545" s="8"/>
      <c r="E545" s="8"/>
      <c r="F545" s="8"/>
      <c r="G545" s="8"/>
      <c r="H545" s="8"/>
      <c r="I545" s="8"/>
      <c r="J545" s="91"/>
      <c r="K545" s="8"/>
      <c r="L545" s="8"/>
      <c r="M545" s="8"/>
      <c r="N545" s="8"/>
      <c r="O545" s="8"/>
      <c r="P545" s="8"/>
      <c r="Q545" s="8"/>
      <c r="R545" s="8"/>
      <c r="S545" s="8"/>
      <c r="T545" s="8"/>
      <c r="U545" s="8"/>
      <c r="V545" s="8"/>
      <c r="W545" s="8"/>
      <c r="X545" s="8"/>
    </row>
    <row r="546" spans="2:24" ht="14.5" x14ac:dyDescent="0.35">
      <c r="B546" s="8"/>
      <c r="C546" s="8"/>
      <c r="D546" s="8"/>
      <c r="E546" s="8"/>
      <c r="F546" s="8"/>
      <c r="G546" s="8"/>
      <c r="H546" s="8"/>
      <c r="I546" s="8"/>
      <c r="J546" s="91"/>
      <c r="K546" s="8"/>
      <c r="L546" s="8"/>
      <c r="M546" s="8"/>
      <c r="N546" s="8"/>
      <c r="O546" s="8"/>
      <c r="P546" s="8"/>
      <c r="Q546" s="8"/>
      <c r="R546" s="8"/>
      <c r="S546" s="8"/>
      <c r="T546" s="8"/>
      <c r="U546" s="8"/>
      <c r="V546" s="8"/>
      <c r="W546" s="8"/>
      <c r="X546" s="8"/>
    </row>
    <row r="547" spans="2:24" ht="14.5" x14ac:dyDescent="0.35">
      <c r="B547" s="8"/>
      <c r="C547" s="8"/>
      <c r="D547" s="8"/>
      <c r="E547" s="8"/>
      <c r="F547" s="8"/>
      <c r="G547" s="8"/>
      <c r="H547" s="8"/>
      <c r="I547" s="8"/>
      <c r="J547" s="91"/>
      <c r="K547" s="8"/>
      <c r="L547" s="8"/>
      <c r="M547" s="8"/>
      <c r="N547" s="8"/>
      <c r="O547" s="8"/>
      <c r="P547" s="8"/>
      <c r="Q547" s="8"/>
      <c r="R547" s="8"/>
      <c r="S547" s="8"/>
      <c r="T547" s="8"/>
      <c r="U547" s="8"/>
      <c r="V547" s="8"/>
      <c r="W547" s="8"/>
      <c r="X547" s="8"/>
    </row>
    <row r="548" spans="2:24" ht="14.5" x14ac:dyDescent="0.35">
      <c r="B548" s="8"/>
      <c r="C548" s="8"/>
      <c r="D548" s="8"/>
      <c r="E548" s="8"/>
      <c r="F548" s="8"/>
      <c r="G548" s="8"/>
      <c r="H548" s="8"/>
      <c r="I548" s="8"/>
      <c r="J548" s="91"/>
      <c r="K548" s="8"/>
      <c r="L548" s="8"/>
      <c r="M548" s="8"/>
      <c r="N548" s="8"/>
      <c r="O548" s="8"/>
      <c r="P548" s="8"/>
      <c r="Q548" s="8"/>
      <c r="R548" s="8"/>
      <c r="S548" s="8"/>
      <c r="T548" s="8"/>
      <c r="U548" s="8"/>
      <c r="V548" s="8"/>
      <c r="W548" s="8"/>
      <c r="X548" s="8"/>
    </row>
    <row r="549" spans="2:24" ht="14.5" x14ac:dyDescent="0.35">
      <c r="B549" s="8"/>
      <c r="C549" s="8"/>
      <c r="D549" s="8"/>
      <c r="E549" s="8"/>
      <c r="F549" s="8"/>
      <c r="G549" s="8"/>
      <c r="H549" s="8"/>
      <c r="I549" s="8"/>
      <c r="J549" s="91"/>
      <c r="K549" s="8"/>
      <c r="L549" s="8"/>
      <c r="M549" s="8"/>
      <c r="N549" s="8"/>
      <c r="O549" s="8"/>
      <c r="P549" s="8"/>
      <c r="Q549" s="8"/>
      <c r="R549" s="8"/>
      <c r="S549" s="8"/>
      <c r="T549" s="8"/>
      <c r="U549" s="8"/>
      <c r="V549" s="8"/>
      <c r="W549" s="8"/>
      <c r="X549" s="8"/>
    </row>
    <row r="550" spans="2:24" ht="14.5" x14ac:dyDescent="0.35">
      <c r="B550" s="8"/>
      <c r="C550" s="8"/>
      <c r="D550" s="8"/>
      <c r="E550" s="8"/>
      <c r="F550" s="8"/>
      <c r="G550" s="8"/>
      <c r="H550" s="8"/>
      <c r="I550" s="8"/>
      <c r="J550" s="91"/>
      <c r="K550" s="8"/>
      <c r="L550" s="8"/>
      <c r="M550" s="8"/>
      <c r="N550" s="8"/>
      <c r="O550" s="8"/>
      <c r="P550" s="8"/>
      <c r="Q550" s="8"/>
      <c r="R550" s="8"/>
      <c r="S550" s="8"/>
      <c r="T550" s="8"/>
      <c r="U550" s="8"/>
      <c r="V550" s="8"/>
      <c r="W550" s="8"/>
      <c r="X550" s="8"/>
    </row>
    <row r="551" spans="2:24" ht="14.5" x14ac:dyDescent="0.35">
      <c r="B551" s="8"/>
      <c r="C551" s="8"/>
      <c r="D551" s="8"/>
      <c r="E551" s="8"/>
      <c r="F551" s="8"/>
      <c r="G551" s="8"/>
      <c r="H551" s="8"/>
      <c r="I551" s="8"/>
      <c r="J551" s="91"/>
      <c r="K551" s="8"/>
      <c r="L551" s="8"/>
      <c r="M551" s="8"/>
      <c r="N551" s="8"/>
      <c r="O551" s="8"/>
      <c r="P551" s="8"/>
      <c r="Q551" s="8"/>
      <c r="R551" s="8"/>
      <c r="S551" s="8"/>
      <c r="T551" s="8"/>
      <c r="U551" s="8"/>
      <c r="V551" s="8"/>
      <c r="W551" s="8"/>
      <c r="X551" s="8"/>
    </row>
    <row r="552" spans="2:24" ht="14.5" x14ac:dyDescent="0.35">
      <c r="B552" s="8"/>
      <c r="C552" s="8"/>
      <c r="D552" s="8"/>
      <c r="E552" s="8"/>
      <c r="F552" s="8"/>
      <c r="G552" s="8"/>
      <c r="H552" s="8"/>
      <c r="I552" s="8"/>
      <c r="J552" s="91"/>
      <c r="K552" s="8"/>
      <c r="L552" s="8"/>
      <c r="M552" s="8"/>
      <c r="N552" s="8"/>
      <c r="O552" s="8"/>
      <c r="P552" s="8"/>
      <c r="Q552" s="8"/>
      <c r="R552" s="8"/>
      <c r="S552" s="8"/>
      <c r="T552" s="8"/>
      <c r="U552" s="8"/>
      <c r="V552" s="8"/>
      <c r="W552" s="8"/>
      <c r="X552" s="8"/>
    </row>
    <row r="553" spans="2:24" ht="14.5" x14ac:dyDescent="0.35">
      <c r="B553" s="8"/>
      <c r="C553" s="8"/>
      <c r="D553" s="8"/>
      <c r="E553" s="8"/>
      <c r="F553" s="8"/>
      <c r="G553" s="8"/>
      <c r="H553" s="8"/>
      <c r="I553" s="8"/>
      <c r="J553" s="91"/>
      <c r="K553" s="8"/>
      <c r="L553" s="8"/>
      <c r="M553" s="8"/>
      <c r="N553" s="8"/>
      <c r="O553" s="8"/>
      <c r="P553" s="8"/>
      <c r="Q553" s="8"/>
      <c r="R553" s="8"/>
      <c r="S553" s="8"/>
      <c r="T553" s="8"/>
      <c r="U553" s="8"/>
      <c r="V553" s="8"/>
      <c r="W553" s="8"/>
      <c r="X553" s="8"/>
    </row>
    <row r="554" spans="2:24" ht="14.5" x14ac:dyDescent="0.35">
      <c r="B554" s="8"/>
      <c r="C554" s="8"/>
      <c r="D554" s="8"/>
      <c r="E554" s="8"/>
      <c r="F554" s="8"/>
      <c r="G554" s="8"/>
      <c r="H554" s="8"/>
      <c r="I554" s="8"/>
      <c r="J554" s="91"/>
      <c r="K554" s="8"/>
      <c r="L554" s="8"/>
      <c r="M554" s="8"/>
      <c r="N554" s="8"/>
      <c r="O554" s="8"/>
      <c r="P554" s="8"/>
      <c r="Q554" s="8"/>
      <c r="R554" s="8"/>
      <c r="S554" s="8"/>
      <c r="T554" s="8"/>
      <c r="U554" s="8"/>
      <c r="V554" s="8"/>
      <c r="W554" s="8"/>
      <c r="X554" s="8"/>
    </row>
    <row r="555" spans="2:24" ht="14.5" x14ac:dyDescent="0.35">
      <c r="B555" s="8"/>
      <c r="C555" s="8"/>
      <c r="D555" s="8"/>
      <c r="E555" s="8"/>
      <c r="F555" s="8"/>
      <c r="G555" s="8"/>
      <c r="H555" s="8"/>
      <c r="I555" s="8"/>
      <c r="J555" s="91"/>
      <c r="K555" s="8"/>
      <c r="L555" s="8"/>
      <c r="M555" s="8"/>
      <c r="N555" s="8"/>
      <c r="O555" s="8"/>
      <c r="P555" s="8"/>
      <c r="Q555" s="8"/>
      <c r="R555" s="8"/>
      <c r="S555" s="8"/>
      <c r="T555" s="8"/>
      <c r="U555" s="8"/>
      <c r="V555" s="8"/>
      <c r="W555" s="8"/>
      <c r="X555" s="8"/>
    </row>
    <row r="556" spans="2:24" ht="14.5" x14ac:dyDescent="0.35">
      <c r="B556" s="8"/>
      <c r="C556" s="8"/>
      <c r="D556" s="8"/>
      <c r="E556" s="8"/>
      <c r="F556" s="8"/>
      <c r="G556" s="8"/>
      <c r="H556" s="8"/>
      <c r="I556" s="8"/>
      <c r="J556" s="91"/>
      <c r="K556" s="8"/>
      <c r="L556" s="8"/>
      <c r="M556" s="8"/>
      <c r="N556" s="8"/>
      <c r="O556" s="8"/>
      <c r="P556" s="8"/>
      <c r="Q556" s="8"/>
      <c r="R556" s="8"/>
      <c r="S556" s="8"/>
      <c r="T556" s="8"/>
      <c r="U556" s="8"/>
      <c r="V556" s="8"/>
      <c r="W556" s="8"/>
      <c r="X556" s="8"/>
    </row>
    <row r="557" spans="2:24" ht="14.5" x14ac:dyDescent="0.35">
      <c r="B557" s="8"/>
      <c r="C557" s="8"/>
      <c r="D557" s="8"/>
      <c r="E557" s="8"/>
      <c r="F557" s="8"/>
      <c r="G557" s="8"/>
      <c r="H557" s="8"/>
      <c r="I557" s="8"/>
      <c r="J557" s="91"/>
      <c r="K557" s="8"/>
      <c r="L557" s="8"/>
      <c r="M557" s="8"/>
      <c r="N557" s="8"/>
      <c r="O557" s="8"/>
      <c r="P557" s="8"/>
      <c r="Q557" s="8"/>
      <c r="R557" s="8"/>
      <c r="S557" s="8"/>
      <c r="T557" s="8"/>
      <c r="U557" s="8"/>
      <c r="V557" s="8"/>
      <c r="W557" s="8"/>
      <c r="X557" s="8"/>
    </row>
    <row r="558" spans="2:24" ht="14.5" x14ac:dyDescent="0.35">
      <c r="B558" s="8"/>
      <c r="C558" s="8"/>
      <c r="D558" s="8"/>
      <c r="E558" s="8"/>
      <c r="F558" s="8"/>
      <c r="G558" s="8"/>
      <c r="H558" s="8"/>
      <c r="I558" s="8"/>
      <c r="J558" s="91"/>
      <c r="K558" s="8"/>
      <c r="L558" s="8"/>
      <c r="M558" s="8"/>
      <c r="N558" s="8"/>
      <c r="O558" s="8"/>
      <c r="P558" s="8"/>
      <c r="Q558" s="8"/>
      <c r="R558" s="8"/>
      <c r="S558" s="8"/>
      <c r="T558" s="8"/>
      <c r="U558" s="8"/>
      <c r="V558" s="8"/>
      <c r="W558" s="8"/>
      <c r="X558" s="8"/>
    </row>
    <row r="559" spans="2:24" ht="14.5" x14ac:dyDescent="0.35">
      <c r="B559" s="8"/>
      <c r="C559" s="8"/>
      <c r="D559" s="8"/>
      <c r="E559" s="8"/>
      <c r="F559" s="8"/>
      <c r="G559" s="8"/>
      <c r="H559" s="8"/>
      <c r="I559" s="8"/>
      <c r="J559" s="91"/>
      <c r="K559" s="8"/>
      <c r="L559" s="8"/>
      <c r="M559" s="8"/>
      <c r="N559" s="8"/>
      <c r="O559" s="8"/>
      <c r="P559" s="8"/>
      <c r="Q559" s="8"/>
      <c r="R559" s="8"/>
      <c r="S559" s="8"/>
      <c r="T559" s="8"/>
      <c r="U559" s="8"/>
      <c r="V559" s="8"/>
      <c r="W559" s="8"/>
      <c r="X559" s="8"/>
    </row>
    <row r="560" spans="2:24" ht="14.5" x14ac:dyDescent="0.35">
      <c r="B560" s="8"/>
      <c r="C560" s="8"/>
      <c r="D560" s="8"/>
      <c r="E560" s="8"/>
      <c r="F560" s="8"/>
      <c r="G560" s="8"/>
      <c r="H560" s="8"/>
      <c r="I560" s="8"/>
      <c r="J560" s="91"/>
      <c r="K560" s="8"/>
      <c r="L560" s="8"/>
      <c r="M560" s="8"/>
      <c r="N560" s="8"/>
      <c r="O560" s="8"/>
      <c r="P560" s="8"/>
      <c r="Q560" s="8"/>
      <c r="R560" s="8"/>
      <c r="S560" s="8"/>
      <c r="T560" s="8"/>
      <c r="U560" s="8"/>
      <c r="V560" s="8"/>
      <c r="W560" s="8"/>
      <c r="X560" s="8"/>
    </row>
    <row r="561" spans="2:24" ht="14.5" x14ac:dyDescent="0.35">
      <c r="B561" s="8"/>
      <c r="C561" s="8"/>
      <c r="D561" s="8"/>
      <c r="E561" s="8"/>
      <c r="F561" s="8"/>
      <c r="G561" s="8"/>
      <c r="H561" s="8"/>
      <c r="I561" s="8"/>
      <c r="J561" s="91"/>
      <c r="K561" s="8"/>
      <c r="L561" s="8"/>
      <c r="M561" s="8"/>
      <c r="N561" s="8"/>
      <c r="O561" s="8"/>
      <c r="P561" s="8"/>
      <c r="Q561" s="8"/>
      <c r="R561" s="8"/>
      <c r="S561" s="8"/>
      <c r="T561" s="8"/>
      <c r="U561" s="8"/>
      <c r="V561" s="8"/>
      <c r="W561" s="8"/>
      <c r="X561" s="8"/>
    </row>
    <row r="562" spans="2:24" ht="14.5" x14ac:dyDescent="0.35">
      <c r="B562" s="8"/>
      <c r="C562" s="8"/>
      <c r="D562" s="8"/>
      <c r="E562" s="8"/>
      <c r="F562" s="8"/>
      <c r="G562" s="8"/>
      <c r="H562" s="8"/>
      <c r="I562" s="8"/>
      <c r="J562" s="91"/>
      <c r="K562" s="8"/>
      <c r="L562" s="8"/>
      <c r="M562" s="8"/>
      <c r="N562" s="8"/>
      <c r="O562" s="8"/>
      <c r="P562" s="8"/>
      <c r="Q562" s="8"/>
      <c r="R562" s="8"/>
      <c r="S562" s="8"/>
      <c r="T562" s="8"/>
      <c r="U562" s="8"/>
      <c r="V562" s="8"/>
      <c r="W562" s="8"/>
      <c r="X562" s="8"/>
    </row>
    <row r="563" spans="2:24" ht="14.5" x14ac:dyDescent="0.35">
      <c r="B563" s="8"/>
      <c r="C563" s="8"/>
      <c r="D563" s="8"/>
      <c r="E563" s="8"/>
      <c r="F563" s="8"/>
      <c r="G563" s="8"/>
      <c r="H563" s="8"/>
      <c r="I563" s="8"/>
      <c r="J563" s="91"/>
      <c r="K563" s="8"/>
      <c r="L563" s="8"/>
      <c r="M563" s="8"/>
      <c r="N563" s="8"/>
      <c r="O563" s="8"/>
      <c r="P563" s="8"/>
      <c r="Q563" s="8"/>
      <c r="R563" s="8"/>
      <c r="S563" s="8"/>
      <c r="T563" s="8"/>
      <c r="U563" s="8"/>
      <c r="V563" s="8"/>
      <c r="W563" s="8"/>
      <c r="X563" s="8"/>
    </row>
    <row r="564" spans="2:24" ht="14.5" x14ac:dyDescent="0.35">
      <c r="B564" s="8"/>
      <c r="C564" s="8"/>
      <c r="D564" s="8"/>
      <c r="E564" s="8"/>
      <c r="F564" s="8"/>
      <c r="G564" s="8"/>
      <c r="H564" s="8"/>
      <c r="I564" s="8"/>
      <c r="J564" s="91"/>
      <c r="K564" s="8"/>
      <c r="L564" s="8"/>
      <c r="M564" s="8"/>
      <c r="N564" s="8"/>
      <c r="O564" s="8"/>
      <c r="P564" s="8"/>
      <c r="Q564" s="8"/>
      <c r="R564" s="8"/>
      <c r="S564" s="8"/>
      <c r="T564" s="8"/>
      <c r="U564" s="8"/>
      <c r="V564" s="8"/>
      <c r="W564" s="8"/>
      <c r="X564" s="8"/>
    </row>
    <row r="565" spans="2:24" ht="14.5" x14ac:dyDescent="0.35">
      <c r="B565" s="8"/>
      <c r="C565" s="8"/>
      <c r="D565" s="8"/>
      <c r="E565" s="8"/>
      <c r="F565" s="8"/>
      <c r="G565" s="8"/>
      <c r="H565" s="8"/>
      <c r="I565" s="8"/>
      <c r="J565" s="91"/>
      <c r="K565" s="8"/>
      <c r="L565" s="8"/>
      <c r="M565" s="8"/>
      <c r="N565" s="8"/>
      <c r="O565" s="8"/>
      <c r="P565" s="8"/>
      <c r="Q565" s="8"/>
      <c r="R565" s="8"/>
      <c r="S565" s="8"/>
      <c r="T565" s="8"/>
      <c r="U565" s="8"/>
      <c r="V565" s="8"/>
      <c r="W565" s="8"/>
      <c r="X565" s="8"/>
    </row>
    <row r="566" spans="2:24" ht="14.5" x14ac:dyDescent="0.35">
      <c r="B566" s="8"/>
      <c r="C566" s="8"/>
      <c r="D566" s="8"/>
      <c r="E566" s="8"/>
      <c r="F566" s="8"/>
      <c r="G566" s="8"/>
      <c r="H566" s="8"/>
      <c r="I566" s="8"/>
      <c r="J566" s="91"/>
      <c r="K566" s="8"/>
      <c r="L566" s="8"/>
      <c r="M566" s="8"/>
      <c r="N566" s="8"/>
      <c r="O566" s="8"/>
      <c r="P566" s="8"/>
      <c r="Q566" s="8"/>
      <c r="R566" s="8"/>
      <c r="S566" s="8"/>
      <c r="T566" s="8"/>
      <c r="U566" s="8"/>
      <c r="V566" s="8"/>
      <c r="W566" s="8"/>
      <c r="X566" s="8"/>
    </row>
    <row r="567" spans="2:24" ht="14.5" x14ac:dyDescent="0.35">
      <c r="B567" s="8"/>
      <c r="C567" s="8"/>
      <c r="D567" s="8"/>
      <c r="E567" s="8"/>
      <c r="F567" s="8"/>
      <c r="G567" s="8"/>
      <c r="H567" s="8"/>
      <c r="I567" s="8"/>
      <c r="J567" s="91"/>
      <c r="K567" s="8"/>
      <c r="L567" s="8"/>
      <c r="M567" s="8"/>
      <c r="N567" s="8"/>
      <c r="O567" s="8"/>
      <c r="P567" s="8"/>
      <c r="Q567" s="8"/>
      <c r="R567" s="8"/>
      <c r="S567" s="8"/>
      <c r="T567" s="8"/>
      <c r="U567" s="8"/>
      <c r="V567" s="8"/>
      <c r="W567" s="8"/>
      <c r="X567" s="8"/>
    </row>
    <row r="568" spans="2:24" ht="14.5" x14ac:dyDescent="0.35">
      <c r="B568" s="8"/>
      <c r="C568" s="8"/>
      <c r="D568" s="8"/>
      <c r="E568" s="8"/>
      <c r="F568" s="8"/>
      <c r="G568" s="8"/>
      <c r="H568" s="8"/>
      <c r="I568" s="8"/>
      <c r="J568" s="91"/>
      <c r="K568" s="8"/>
      <c r="L568" s="8"/>
      <c r="M568" s="8"/>
      <c r="N568" s="8"/>
      <c r="O568" s="8"/>
      <c r="P568" s="8"/>
      <c r="Q568" s="8"/>
      <c r="R568" s="8"/>
      <c r="S568" s="8"/>
      <c r="T568" s="8"/>
      <c r="U568" s="8"/>
      <c r="V568" s="8"/>
      <c r="W568" s="8"/>
      <c r="X568" s="8"/>
    </row>
    <row r="569" spans="2:24" ht="14.5" x14ac:dyDescent="0.35">
      <c r="B569" s="8"/>
      <c r="C569" s="8"/>
      <c r="D569" s="8"/>
      <c r="E569" s="8"/>
      <c r="F569" s="8"/>
      <c r="G569" s="8"/>
      <c r="H569" s="8"/>
      <c r="I569" s="8"/>
      <c r="J569" s="91"/>
      <c r="K569" s="8"/>
      <c r="L569" s="8"/>
      <c r="M569" s="8"/>
      <c r="N569" s="8"/>
      <c r="O569" s="8"/>
      <c r="P569" s="8"/>
      <c r="Q569" s="8"/>
      <c r="R569" s="8"/>
      <c r="S569" s="8"/>
      <c r="T569" s="8"/>
      <c r="U569" s="8"/>
      <c r="V569" s="8"/>
      <c r="W569" s="8"/>
      <c r="X569" s="8"/>
    </row>
    <row r="570" spans="2:24" ht="14.5" x14ac:dyDescent="0.35">
      <c r="B570" s="8"/>
      <c r="C570" s="8"/>
      <c r="D570" s="8"/>
      <c r="E570" s="8"/>
      <c r="F570" s="8"/>
      <c r="G570" s="8"/>
      <c r="H570" s="8"/>
      <c r="I570" s="8"/>
      <c r="J570" s="91"/>
      <c r="K570" s="8"/>
      <c r="L570" s="8"/>
      <c r="M570" s="8"/>
      <c r="N570" s="8"/>
      <c r="O570" s="8"/>
      <c r="P570" s="8"/>
      <c r="Q570" s="8"/>
      <c r="R570" s="8"/>
      <c r="S570" s="8"/>
      <c r="T570" s="8"/>
      <c r="U570" s="8"/>
      <c r="V570" s="8"/>
      <c r="W570" s="8"/>
      <c r="X570" s="8"/>
    </row>
    <row r="571" spans="2:24" ht="14.5" x14ac:dyDescent="0.35">
      <c r="B571" s="8"/>
      <c r="C571" s="8"/>
      <c r="D571" s="8"/>
      <c r="E571" s="8"/>
      <c r="F571" s="8"/>
      <c r="G571" s="8"/>
      <c r="H571" s="8"/>
      <c r="I571" s="8"/>
      <c r="J571" s="91"/>
      <c r="K571" s="8"/>
      <c r="L571" s="8"/>
      <c r="M571" s="8"/>
      <c r="N571" s="8"/>
      <c r="O571" s="8"/>
      <c r="P571" s="8"/>
      <c r="Q571" s="8"/>
      <c r="R571" s="8"/>
      <c r="S571" s="8"/>
      <c r="T571" s="8"/>
      <c r="U571" s="8"/>
      <c r="V571" s="8"/>
      <c r="W571" s="8"/>
      <c r="X571" s="8"/>
    </row>
    <row r="572" spans="2:24" ht="14.5" x14ac:dyDescent="0.35">
      <c r="B572" s="8"/>
      <c r="C572" s="8"/>
      <c r="D572" s="8"/>
      <c r="E572" s="8"/>
      <c r="F572" s="8"/>
      <c r="G572" s="8"/>
      <c r="H572" s="8"/>
      <c r="I572" s="8"/>
      <c r="J572" s="91"/>
      <c r="K572" s="8"/>
      <c r="L572" s="8"/>
      <c r="M572" s="8"/>
      <c r="N572" s="8"/>
      <c r="O572" s="8"/>
      <c r="P572" s="8"/>
      <c r="Q572" s="8"/>
      <c r="R572" s="8"/>
      <c r="S572" s="8"/>
      <c r="T572" s="8"/>
      <c r="U572" s="8"/>
      <c r="V572" s="8"/>
      <c r="W572" s="8"/>
      <c r="X572" s="8"/>
    </row>
    <row r="573" spans="2:24" ht="14.5" x14ac:dyDescent="0.35">
      <c r="B573" s="8"/>
      <c r="C573" s="8"/>
      <c r="D573" s="8"/>
      <c r="E573" s="8"/>
      <c r="F573" s="8"/>
      <c r="G573" s="8"/>
      <c r="H573" s="8"/>
      <c r="I573" s="8"/>
      <c r="J573" s="91"/>
      <c r="K573" s="8"/>
      <c r="L573" s="8"/>
      <c r="M573" s="8"/>
      <c r="N573" s="8"/>
      <c r="O573" s="8"/>
      <c r="P573" s="8"/>
      <c r="Q573" s="8"/>
      <c r="R573" s="8"/>
      <c r="S573" s="8"/>
      <c r="T573" s="8"/>
      <c r="U573" s="8"/>
      <c r="V573" s="8"/>
      <c r="W573" s="8"/>
      <c r="X573" s="8"/>
    </row>
    <row r="574" spans="2:24" ht="14.5" x14ac:dyDescent="0.35">
      <c r="B574" s="8"/>
      <c r="C574" s="8"/>
      <c r="D574" s="8"/>
      <c r="E574" s="8"/>
      <c r="F574" s="8"/>
      <c r="G574" s="8"/>
      <c r="H574" s="8"/>
      <c r="I574" s="8"/>
      <c r="J574" s="91"/>
      <c r="K574" s="8"/>
      <c r="L574" s="8"/>
      <c r="M574" s="8"/>
      <c r="N574" s="8"/>
      <c r="O574" s="8"/>
      <c r="P574" s="8"/>
      <c r="Q574" s="8"/>
      <c r="R574" s="8"/>
      <c r="S574" s="8"/>
      <c r="T574" s="8"/>
      <c r="U574" s="8"/>
      <c r="V574" s="8"/>
      <c r="W574" s="8"/>
      <c r="X574" s="8"/>
    </row>
    <row r="575" spans="2:24" ht="14.5" x14ac:dyDescent="0.35">
      <c r="B575" s="8"/>
      <c r="C575" s="8"/>
      <c r="D575" s="8"/>
      <c r="E575" s="8"/>
      <c r="F575" s="8"/>
      <c r="G575" s="8"/>
      <c r="H575" s="8"/>
      <c r="I575" s="8"/>
      <c r="J575" s="91"/>
      <c r="K575" s="8"/>
      <c r="L575" s="8"/>
      <c r="M575" s="8"/>
      <c r="N575" s="8"/>
      <c r="O575" s="8"/>
      <c r="P575" s="8"/>
      <c r="Q575" s="8"/>
      <c r="R575" s="8"/>
      <c r="S575" s="8"/>
      <c r="T575" s="8"/>
      <c r="U575" s="8"/>
      <c r="V575" s="8"/>
      <c r="W575" s="8"/>
      <c r="X575" s="8"/>
    </row>
    <row r="576" spans="2:24" ht="14.5" x14ac:dyDescent="0.35">
      <c r="B576" s="8"/>
      <c r="C576" s="8"/>
      <c r="D576" s="8"/>
      <c r="E576" s="8"/>
      <c r="F576" s="8"/>
      <c r="G576" s="8"/>
      <c r="H576" s="8"/>
      <c r="I576" s="8"/>
      <c r="J576" s="91"/>
      <c r="K576" s="8"/>
      <c r="L576" s="8"/>
      <c r="M576" s="8"/>
      <c r="N576" s="8"/>
      <c r="O576" s="8"/>
      <c r="P576" s="8"/>
      <c r="Q576" s="8"/>
      <c r="R576" s="8"/>
      <c r="S576" s="8"/>
      <c r="T576" s="8"/>
      <c r="U576" s="8"/>
      <c r="V576" s="8"/>
      <c r="W576" s="8"/>
      <c r="X576" s="8"/>
    </row>
    <row r="577" spans="2:26" ht="14.5" x14ac:dyDescent="0.35">
      <c r="B577" s="8"/>
      <c r="C577" s="8"/>
      <c r="D577" s="8"/>
      <c r="E577" s="8"/>
      <c r="F577" s="8"/>
      <c r="G577" s="8"/>
      <c r="H577" s="8"/>
      <c r="I577" s="8"/>
      <c r="J577" s="91"/>
      <c r="K577" s="8"/>
      <c r="L577" s="8"/>
      <c r="M577" s="8"/>
      <c r="N577" s="8"/>
      <c r="O577" s="8"/>
      <c r="P577" s="8"/>
      <c r="Q577" s="8"/>
      <c r="R577" s="8"/>
      <c r="S577" s="8"/>
      <c r="T577" s="8"/>
      <c r="U577" s="8"/>
      <c r="V577" s="8"/>
      <c r="W577" s="8"/>
      <c r="X577" s="8"/>
    </row>
    <row r="578" spans="2:26" ht="14.5" x14ac:dyDescent="0.35">
      <c r="B578" s="8"/>
      <c r="C578" s="8"/>
      <c r="D578" s="8"/>
      <c r="E578" s="8"/>
      <c r="F578" s="8"/>
      <c r="G578" s="8"/>
      <c r="H578" s="8"/>
      <c r="I578" s="8"/>
      <c r="J578" s="91"/>
      <c r="K578" s="8"/>
      <c r="L578" s="8"/>
      <c r="M578" s="8"/>
      <c r="N578" s="8"/>
      <c r="O578" s="8"/>
      <c r="P578" s="8"/>
      <c r="Q578" s="8"/>
      <c r="R578" s="8"/>
      <c r="S578" s="8"/>
      <c r="T578" s="8"/>
      <c r="U578" s="8"/>
      <c r="V578" s="8"/>
      <c r="W578" s="8"/>
      <c r="X578" s="8"/>
    </row>
    <row r="579" spans="2:26" ht="14.5" x14ac:dyDescent="0.35">
      <c r="B579" s="8"/>
      <c r="C579" s="8"/>
      <c r="D579" s="8"/>
      <c r="E579" s="8"/>
      <c r="F579" s="8"/>
      <c r="G579" s="8"/>
      <c r="H579" s="8"/>
      <c r="I579" s="8"/>
      <c r="J579" s="91"/>
      <c r="K579" s="8"/>
      <c r="L579" s="8"/>
      <c r="M579" s="8"/>
      <c r="N579" s="8"/>
      <c r="O579" s="8"/>
      <c r="P579" s="8"/>
      <c r="Q579" s="8"/>
      <c r="R579" s="8"/>
      <c r="S579" s="8"/>
      <c r="T579" s="8"/>
      <c r="U579" s="8"/>
      <c r="V579" s="8"/>
      <c r="W579" s="8"/>
      <c r="X579" s="8"/>
    </row>
    <row r="580" spans="2:26" ht="14.5" x14ac:dyDescent="0.35">
      <c r="B580" s="8"/>
      <c r="C580" s="8"/>
      <c r="D580" s="8"/>
      <c r="E580" s="8"/>
      <c r="F580" s="8"/>
      <c r="G580" s="8"/>
      <c r="H580" s="8"/>
      <c r="I580" s="8"/>
      <c r="J580" s="91"/>
      <c r="K580" s="8"/>
      <c r="L580" s="8"/>
      <c r="M580" s="8"/>
      <c r="N580" s="8"/>
      <c r="O580" s="8"/>
      <c r="P580" s="8"/>
      <c r="Q580" s="8"/>
      <c r="R580" s="8"/>
      <c r="S580" s="8"/>
      <c r="T580" s="8"/>
      <c r="U580" s="8"/>
      <c r="V580" s="8"/>
      <c r="W580" s="8"/>
      <c r="X580" s="8"/>
    </row>
    <row r="581" spans="2:26" ht="14.5" x14ac:dyDescent="0.35">
      <c r="B581" s="8"/>
      <c r="C581" s="8"/>
      <c r="D581" s="8"/>
      <c r="E581" s="8"/>
      <c r="F581" s="8"/>
      <c r="G581" s="8"/>
      <c r="H581" s="8"/>
      <c r="I581" s="8"/>
      <c r="J581" s="91"/>
      <c r="K581" s="8"/>
      <c r="L581" s="8"/>
      <c r="M581" s="8"/>
      <c r="N581" s="8"/>
      <c r="O581" s="8"/>
      <c r="P581" s="8"/>
      <c r="Q581" s="8"/>
      <c r="R581" s="8"/>
      <c r="S581" s="8"/>
      <c r="T581" s="8"/>
      <c r="U581" s="8"/>
      <c r="V581" s="8"/>
      <c r="W581" s="8"/>
      <c r="X581" s="8"/>
    </row>
    <row r="582" spans="2:26" ht="14.5" x14ac:dyDescent="0.35">
      <c r="B582" s="8"/>
      <c r="C582" s="8"/>
      <c r="D582" s="8"/>
      <c r="E582" s="8"/>
      <c r="F582" s="8"/>
      <c r="G582" s="8"/>
      <c r="H582" s="8"/>
      <c r="I582" s="8"/>
      <c r="J582" s="91"/>
      <c r="K582" s="8"/>
      <c r="L582" s="8"/>
      <c r="M582" s="8"/>
      <c r="N582" s="8"/>
      <c r="O582" s="8"/>
      <c r="P582" s="8"/>
      <c r="Q582" s="8"/>
      <c r="R582" s="8"/>
      <c r="S582" s="8"/>
      <c r="T582" s="8"/>
      <c r="U582" s="8"/>
      <c r="V582" s="8"/>
      <c r="W582" s="8"/>
      <c r="X582" s="8"/>
    </row>
    <row r="583" spans="2:26" ht="14.5" x14ac:dyDescent="0.35">
      <c r="B583" s="8"/>
      <c r="C583" s="8"/>
      <c r="D583" s="8"/>
      <c r="E583" s="8"/>
      <c r="F583" s="8"/>
      <c r="G583" s="8"/>
      <c r="H583" s="8"/>
      <c r="I583" s="8"/>
      <c r="J583" s="91"/>
      <c r="K583" s="8"/>
      <c r="L583" s="8"/>
      <c r="M583" s="8"/>
      <c r="N583" s="8"/>
      <c r="O583" s="8"/>
      <c r="P583" s="8"/>
      <c r="Q583" s="8"/>
      <c r="R583" s="8"/>
      <c r="S583" s="8"/>
      <c r="T583" s="8"/>
      <c r="U583" s="8"/>
      <c r="V583" s="8"/>
      <c r="W583" s="8"/>
      <c r="X583" s="8"/>
    </row>
    <row r="584" spans="2:26" ht="14.5" x14ac:dyDescent="0.35">
      <c r="B584" s="8"/>
      <c r="C584" s="8"/>
      <c r="D584" s="8"/>
      <c r="E584" s="8"/>
      <c r="F584" s="8"/>
      <c r="G584" s="8"/>
      <c r="H584" s="8"/>
      <c r="I584" s="8"/>
      <c r="J584" s="91"/>
      <c r="K584" s="8"/>
      <c r="L584" s="8"/>
      <c r="M584" s="8"/>
      <c r="N584" s="8"/>
      <c r="O584" s="8"/>
      <c r="P584" s="8"/>
      <c r="Q584" s="8"/>
      <c r="R584" s="8"/>
      <c r="S584" s="8"/>
      <c r="T584" s="8"/>
      <c r="U584" s="8"/>
      <c r="V584" s="8"/>
      <c r="W584" s="8"/>
      <c r="X584" s="8"/>
    </row>
    <row r="585" spans="2:26" ht="14.5" x14ac:dyDescent="0.35">
      <c r="B585" s="8"/>
      <c r="C585" s="8"/>
      <c r="D585" s="8"/>
      <c r="E585" s="8"/>
      <c r="F585" s="8"/>
      <c r="G585" s="8"/>
      <c r="H585" s="8"/>
      <c r="I585" s="8"/>
      <c r="J585" s="91"/>
      <c r="K585" s="8"/>
      <c r="L585" s="8"/>
      <c r="M585" s="8"/>
      <c r="N585" s="8"/>
      <c r="O585" s="8"/>
      <c r="P585" s="8"/>
      <c r="Q585" s="8"/>
      <c r="R585" s="8"/>
      <c r="S585" s="8"/>
      <c r="T585" s="8"/>
      <c r="U585" s="8"/>
      <c r="V585" s="8"/>
      <c r="W585" s="8"/>
      <c r="X585" s="8"/>
    </row>
    <row r="586" spans="2:26" ht="14.5" x14ac:dyDescent="0.35">
      <c r="B586" s="8"/>
      <c r="C586" s="8"/>
      <c r="D586" s="8"/>
      <c r="E586" s="8"/>
      <c r="F586" s="8"/>
      <c r="G586" s="8"/>
      <c r="H586" s="8"/>
      <c r="I586" s="8"/>
      <c r="J586" s="91"/>
      <c r="K586" s="8"/>
      <c r="L586" s="8"/>
      <c r="M586" s="8"/>
      <c r="N586" s="8"/>
      <c r="O586" s="8"/>
      <c r="P586" s="8"/>
      <c r="Q586" s="8"/>
      <c r="R586" s="8"/>
      <c r="S586" s="8"/>
      <c r="T586" s="8"/>
      <c r="U586" s="8"/>
      <c r="V586" s="8"/>
      <c r="W586" s="8"/>
      <c r="X586" s="8"/>
    </row>
    <row r="587" spans="2:26" ht="14.5" x14ac:dyDescent="0.35">
      <c r="B587" s="8"/>
      <c r="C587" s="8"/>
      <c r="D587" s="8"/>
      <c r="E587" s="8"/>
      <c r="F587" s="8"/>
      <c r="G587" s="8"/>
      <c r="H587" s="8"/>
      <c r="I587" s="8"/>
      <c r="J587" s="91"/>
      <c r="K587" s="8"/>
      <c r="L587" s="8"/>
      <c r="M587" s="8"/>
      <c r="N587" s="8"/>
      <c r="O587" s="8"/>
      <c r="P587" s="8"/>
      <c r="Q587" s="8"/>
      <c r="R587" s="8"/>
      <c r="S587" s="8"/>
      <c r="T587" s="8"/>
      <c r="U587" s="8"/>
      <c r="V587" s="8"/>
      <c r="W587" s="8"/>
      <c r="X587" s="8"/>
    </row>
    <row r="588" spans="2:26" ht="14.5" x14ac:dyDescent="0.35">
      <c r="B588" s="8"/>
      <c r="C588" s="8"/>
      <c r="D588" s="8"/>
      <c r="E588" s="8"/>
      <c r="F588" s="8"/>
      <c r="G588" s="8"/>
      <c r="H588" s="8"/>
      <c r="I588" s="8"/>
      <c r="J588" s="91"/>
      <c r="K588" s="8"/>
      <c r="L588" s="8"/>
      <c r="M588" s="8"/>
      <c r="N588" s="8"/>
      <c r="O588" s="8"/>
      <c r="P588" s="8"/>
      <c r="Q588" s="8"/>
      <c r="R588" s="8"/>
      <c r="S588" s="8"/>
      <c r="T588" s="8"/>
      <c r="U588" s="8"/>
      <c r="V588" s="8"/>
      <c r="W588" s="8"/>
      <c r="X588" s="8"/>
    </row>
    <row r="589" spans="2:26" ht="14.5" x14ac:dyDescent="0.35">
      <c r="B589" s="8"/>
      <c r="C589" s="8"/>
      <c r="D589" s="8"/>
      <c r="E589" s="8"/>
      <c r="F589" s="8"/>
      <c r="G589" s="8"/>
      <c r="H589" s="8"/>
      <c r="I589" s="8"/>
      <c r="J589" s="91"/>
      <c r="K589" s="8"/>
      <c r="L589" s="8"/>
      <c r="M589" s="8"/>
      <c r="N589" s="8"/>
      <c r="O589" s="8"/>
      <c r="P589" s="8"/>
      <c r="Q589" s="8"/>
      <c r="R589" s="8"/>
      <c r="S589" s="8"/>
      <c r="T589" s="8"/>
      <c r="U589" s="8"/>
      <c r="V589" s="8"/>
      <c r="W589" s="8"/>
      <c r="X589" s="8"/>
    </row>
    <row r="590" spans="2:26" ht="14.5" x14ac:dyDescent="0.35">
      <c r="B590" s="8"/>
      <c r="C590" s="8"/>
      <c r="D590" s="8"/>
      <c r="E590" s="8"/>
      <c r="F590" s="8"/>
      <c r="G590" s="8"/>
      <c r="H590" s="8"/>
      <c r="I590" s="8"/>
      <c r="J590" s="91"/>
      <c r="K590" s="8"/>
      <c r="L590" s="8"/>
      <c r="M590" s="8"/>
      <c r="N590" s="8"/>
      <c r="O590" s="8"/>
      <c r="P590" s="8"/>
      <c r="Q590" s="8"/>
      <c r="R590" s="8"/>
      <c r="S590" s="8"/>
      <c r="T590" s="8"/>
      <c r="U590" s="8"/>
      <c r="V590" s="8"/>
      <c r="W590" s="8"/>
      <c r="X590" s="8"/>
      <c r="Y590" s="8"/>
      <c r="Z590" s="8"/>
    </row>
    <row r="591" spans="2:26" ht="14.5" x14ac:dyDescent="0.35">
      <c r="B591" s="8"/>
      <c r="C591" s="8"/>
      <c r="D591" s="8"/>
      <c r="E591" s="8"/>
      <c r="F591" s="8"/>
      <c r="G591" s="8"/>
      <c r="H591" s="8"/>
      <c r="I591" s="8"/>
      <c r="J591" s="91"/>
      <c r="K591" s="8"/>
      <c r="L591" s="8"/>
      <c r="M591" s="8"/>
      <c r="N591" s="8"/>
      <c r="O591" s="8"/>
      <c r="P591" s="8"/>
      <c r="Q591" s="8"/>
      <c r="R591" s="8"/>
      <c r="S591" s="8"/>
      <c r="T591" s="8"/>
      <c r="U591" s="8"/>
      <c r="V591" s="8"/>
      <c r="W591" s="8"/>
      <c r="X591" s="8"/>
      <c r="Y591" s="8"/>
      <c r="Z591" s="8"/>
    </row>
    <row r="592" spans="2:26" ht="14.5" x14ac:dyDescent="0.35">
      <c r="B592" s="8"/>
      <c r="C592" s="8"/>
      <c r="D592" s="8"/>
      <c r="E592" s="8"/>
      <c r="F592" s="8"/>
      <c r="G592" s="8"/>
      <c r="H592" s="8"/>
      <c r="I592" s="8"/>
      <c r="J592" s="91"/>
      <c r="K592" s="8"/>
      <c r="L592" s="8"/>
      <c r="M592" s="8"/>
      <c r="N592" s="8"/>
      <c r="O592" s="8"/>
      <c r="P592" s="8"/>
      <c r="Q592" s="8"/>
      <c r="R592" s="8"/>
      <c r="S592" s="8"/>
      <c r="T592" s="8"/>
      <c r="U592" s="8"/>
      <c r="V592" s="8"/>
      <c r="W592" s="8"/>
      <c r="X592" s="8"/>
      <c r="Y592" s="8"/>
      <c r="Z592" s="8"/>
    </row>
    <row r="593" spans="2:26" ht="14.5" x14ac:dyDescent="0.35">
      <c r="B593" s="8"/>
      <c r="C593" s="8"/>
      <c r="D593" s="8"/>
      <c r="E593" s="8"/>
      <c r="F593" s="8"/>
      <c r="G593" s="8"/>
      <c r="H593" s="8"/>
      <c r="I593" s="8"/>
      <c r="J593" s="91"/>
      <c r="K593" s="8"/>
      <c r="L593" s="8"/>
      <c r="M593" s="8"/>
      <c r="N593" s="8"/>
      <c r="O593" s="8"/>
      <c r="P593" s="8"/>
      <c r="Q593" s="8"/>
      <c r="R593" s="8"/>
      <c r="S593" s="8"/>
      <c r="T593" s="8"/>
      <c r="U593" s="8"/>
      <c r="V593" s="8"/>
      <c r="W593" s="8"/>
      <c r="X593" s="8"/>
      <c r="Y593" s="8"/>
      <c r="Z593" s="8"/>
    </row>
    <row r="594" spans="2:26" ht="14.5" x14ac:dyDescent="0.35">
      <c r="B594" s="8"/>
      <c r="C594" s="8"/>
      <c r="D594" s="8"/>
      <c r="E594" s="8"/>
      <c r="F594" s="8"/>
      <c r="G594" s="8"/>
      <c r="H594" s="8"/>
      <c r="I594" s="8"/>
      <c r="J594" s="91"/>
      <c r="K594" s="8"/>
      <c r="L594" s="8"/>
      <c r="M594" s="8"/>
      <c r="N594" s="8"/>
      <c r="O594" s="8"/>
      <c r="P594" s="8"/>
      <c r="Q594" s="8"/>
      <c r="R594" s="8"/>
      <c r="S594" s="8"/>
      <c r="T594" s="8"/>
      <c r="U594" s="8"/>
      <c r="V594" s="8"/>
      <c r="W594" s="8"/>
      <c r="X594" s="8"/>
      <c r="Y594" s="8"/>
      <c r="Z594" s="8"/>
    </row>
    <row r="595" spans="2:26" ht="14.5" x14ac:dyDescent="0.35">
      <c r="B595" s="8"/>
      <c r="C595" s="8"/>
      <c r="D595" s="8"/>
      <c r="E595" s="8"/>
      <c r="F595" s="8"/>
      <c r="G595" s="8"/>
      <c r="H595" s="8"/>
      <c r="I595" s="8"/>
      <c r="J595" s="91"/>
      <c r="K595" s="8"/>
      <c r="L595" s="8"/>
      <c r="M595" s="8"/>
      <c r="N595" s="8"/>
      <c r="O595" s="8"/>
      <c r="P595" s="8"/>
      <c r="Q595" s="8"/>
      <c r="R595" s="8"/>
      <c r="S595" s="8"/>
      <c r="T595" s="8"/>
      <c r="U595" s="8"/>
      <c r="V595" s="8"/>
      <c r="W595" s="8"/>
      <c r="X595" s="8"/>
      <c r="Y595" s="8"/>
      <c r="Z595" s="8"/>
    </row>
    <row r="596" spans="2:26" ht="14.5" x14ac:dyDescent="0.35">
      <c r="B596" s="8"/>
      <c r="C596" s="8"/>
      <c r="D596" s="8"/>
      <c r="E596" s="8"/>
      <c r="F596" s="8"/>
      <c r="G596" s="8"/>
      <c r="H596" s="8"/>
      <c r="I596" s="8"/>
      <c r="J596" s="91"/>
      <c r="K596" s="8"/>
      <c r="L596" s="8"/>
      <c r="M596" s="8"/>
      <c r="N596" s="8"/>
      <c r="O596" s="8"/>
      <c r="P596" s="8"/>
      <c r="Q596" s="8"/>
      <c r="R596" s="8"/>
      <c r="S596" s="8"/>
      <c r="T596" s="8"/>
      <c r="U596" s="8"/>
      <c r="V596" s="8"/>
      <c r="W596" s="8"/>
      <c r="X596" s="8"/>
      <c r="Y596" s="8"/>
      <c r="Z596" s="8"/>
    </row>
    <row r="597" spans="2:26" ht="14.5" x14ac:dyDescent="0.35">
      <c r="B597" s="8"/>
      <c r="C597" s="8"/>
      <c r="D597" s="8"/>
      <c r="E597" s="8"/>
      <c r="F597" s="8"/>
      <c r="G597" s="8"/>
      <c r="H597" s="8"/>
      <c r="I597" s="8"/>
      <c r="J597" s="91"/>
      <c r="K597" s="8"/>
      <c r="L597" s="8"/>
      <c r="M597" s="8"/>
      <c r="N597" s="8"/>
      <c r="O597" s="8"/>
      <c r="P597" s="8"/>
      <c r="Q597" s="8"/>
      <c r="R597" s="8"/>
      <c r="S597" s="8"/>
      <c r="T597" s="8"/>
      <c r="U597" s="8"/>
      <c r="V597" s="8"/>
      <c r="W597" s="8"/>
      <c r="X597" s="8"/>
      <c r="Y597" s="8"/>
      <c r="Z597" s="8"/>
    </row>
    <row r="598" spans="2:26" ht="14.5" x14ac:dyDescent="0.35">
      <c r="B598" s="8"/>
      <c r="C598" s="8"/>
      <c r="D598" s="8"/>
      <c r="E598" s="8"/>
      <c r="F598" s="8"/>
      <c r="G598" s="8"/>
      <c r="H598" s="8"/>
      <c r="I598" s="8"/>
      <c r="J598" s="91"/>
      <c r="K598" s="8"/>
      <c r="L598" s="8"/>
      <c r="M598" s="8"/>
      <c r="N598" s="8"/>
      <c r="O598" s="8"/>
      <c r="P598" s="8"/>
      <c r="Q598" s="8"/>
      <c r="R598" s="8"/>
      <c r="S598" s="8"/>
      <c r="T598" s="8"/>
      <c r="U598" s="8"/>
      <c r="V598" s="8"/>
      <c r="W598" s="8"/>
      <c r="X598" s="8"/>
      <c r="Y598" s="8"/>
      <c r="Z598" s="8"/>
    </row>
    <row r="599" spans="2:26" ht="14.5" x14ac:dyDescent="0.35">
      <c r="B599" s="8"/>
      <c r="C599" s="8"/>
      <c r="D599" s="8"/>
      <c r="E599" s="8"/>
      <c r="F599" s="8"/>
      <c r="G599" s="8"/>
      <c r="H599" s="8"/>
      <c r="I599" s="8"/>
      <c r="J599" s="91"/>
      <c r="K599" s="8"/>
      <c r="L599" s="8"/>
      <c r="M599" s="8"/>
      <c r="N599" s="8"/>
      <c r="O599" s="8"/>
      <c r="P599" s="8"/>
      <c r="Q599" s="8"/>
      <c r="R599" s="8"/>
      <c r="S599" s="8"/>
      <c r="T599" s="8"/>
      <c r="U599" s="8"/>
      <c r="V599" s="8"/>
      <c r="W599" s="8"/>
      <c r="X599" s="8"/>
      <c r="Y599" s="8"/>
      <c r="Z599" s="8"/>
    </row>
    <row r="600" spans="2:26" ht="14.5" x14ac:dyDescent="0.35">
      <c r="B600" s="8"/>
      <c r="C600" s="8"/>
      <c r="D600" s="8"/>
      <c r="E600" s="8"/>
      <c r="F600" s="8"/>
      <c r="G600" s="8"/>
      <c r="H600" s="8"/>
      <c r="I600" s="8"/>
      <c r="J600" s="91"/>
      <c r="K600" s="8"/>
      <c r="L600" s="8"/>
      <c r="M600" s="8"/>
      <c r="N600" s="8"/>
      <c r="O600" s="8"/>
      <c r="P600" s="8"/>
      <c r="Q600" s="8"/>
      <c r="R600" s="8"/>
      <c r="S600" s="8"/>
      <c r="T600" s="8"/>
      <c r="U600" s="8"/>
      <c r="V600" s="8"/>
      <c r="W600" s="8"/>
      <c r="X600" s="8"/>
      <c r="Y600" s="8"/>
      <c r="Z600" s="8"/>
    </row>
    <row r="601" spans="2:26" ht="14.5" x14ac:dyDescent="0.35">
      <c r="B601" s="8"/>
      <c r="C601" s="8"/>
      <c r="D601" s="8"/>
      <c r="E601" s="8"/>
      <c r="F601" s="8"/>
      <c r="G601" s="8"/>
      <c r="H601" s="8"/>
      <c r="I601" s="8"/>
      <c r="J601" s="91"/>
      <c r="K601" s="8"/>
      <c r="L601" s="8"/>
      <c r="M601" s="8"/>
      <c r="N601" s="8"/>
      <c r="O601" s="8"/>
      <c r="P601" s="8"/>
      <c r="Q601" s="8"/>
      <c r="R601" s="8"/>
      <c r="S601" s="8"/>
      <c r="T601" s="8"/>
      <c r="U601" s="8"/>
      <c r="V601" s="8"/>
      <c r="W601" s="8"/>
      <c r="X601" s="8"/>
      <c r="Y601" s="8"/>
      <c r="Z601" s="8"/>
    </row>
    <row r="602" spans="2:26" ht="14.5" x14ac:dyDescent="0.35">
      <c r="B602" s="8"/>
      <c r="C602" s="8"/>
      <c r="D602" s="8"/>
      <c r="E602" s="8"/>
      <c r="F602" s="8"/>
      <c r="G602" s="8"/>
      <c r="H602" s="8"/>
      <c r="I602" s="8"/>
      <c r="J602" s="91"/>
      <c r="K602" s="8"/>
      <c r="L602" s="8"/>
      <c r="M602" s="8"/>
      <c r="N602" s="8"/>
      <c r="O602" s="8"/>
      <c r="P602" s="8"/>
      <c r="Q602" s="8"/>
      <c r="R602" s="8"/>
      <c r="S602" s="8"/>
      <c r="T602" s="8"/>
      <c r="U602" s="8"/>
      <c r="V602" s="8"/>
      <c r="W602" s="8"/>
      <c r="X602" s="8"/>
      <c r="Y602" s="8"/>
      <c r="Z602" s="8"/>
    </row>
    <row r="603" spans="2:26" ht="14.5" x14ac:dyDescent="0.35">
      <c r="B603" s="8"/>
      <c r="C603" s="8"/>
      <c r="D603" s="8"/>
      <c r="E603" s="8"/>
      <c r="F603" s="8"/>
      <c r="G603" s="8"/>
      <c r="H603" s="8"/>
      <c r="I603" s="8"/>
      <c r="J603" s="91"/>
      <c r="K603" s="8"/>
      <c r="L603" s="8"/>
      <c r="M603" s="8"/>
      <c r="N603" s="8"/>
      <c r="O603" s="8"/>
      <c r="P603" s="8"/>
      <c r="Q603" s="8"/>
      <c r="R603" s="8"/>
      <c r="S603" s="8"/>
      <c r="T603" s="8"/>
      <c r="U603" s="8"/>
      <c r="V603" s="8"/>
      <c r="W603" s="8"/>
      <c r="X603" s="8"/>
      <c r="Y603" s="8"/>
      <c r="Z603" s="8"/>
    </row>
    <row r="604" spans="2:26" ht="14.5" x14ac:dyDescent="0.35">
      <c r="B604" s="8"/>
      <c r="C604" s="8"/>
      <c r="D604" s="8"/>
      <c r="E604" s="8"/>
      <c r="F604" s="8"/>
      <c r="G604" s="8"/>
      <c r="H604" s="8"/>
      <c r="I604" s="8"/>
      <c r="J604" s="91"/>
      <c r="K604" s="8"/>
      <c r="L604" s="8"/>
      <c r="M604" s="8"/>
      <c r="N604" s="8"/>
      <c r="O604" s="8"/>
      <c r="P604" s="8"/>
      <c r="Q604" s="8"/>
      <c r="R604" s="8"/>
      <c r="S604" s="8"/>
      <c r="T604" s="8"/>
      <c r="U604" s="8"/>
      <c r="V604" s="8"/>
      <c r="W604" s="8"/>
      <c r="X604" s="8"/>
      <c r="Y604" s="8"/>
      <c r="Z604" s="8"/>
    </row>
    <row r="605" spans="2:26" ht="14.5" x14ac:dyDescent="0.35">
      <c r="B605" s="8"/>
      <c r="C605" s="8"/>
      <c r="D605" s="8"/>
      <c r="E605" s="8"/>
      <c r="F605" s="8"/>
      <c r="G605" s="8"/>
      <c r="H605" s="8"/>
      <c r="I605" s="8"/>
      <c r="J605" s="91"/>
      <c r="K605" s="8"/>
      <c r="L605" s="8"/>
      <c r="M605" s="8"/>
      <c r="N605" s="8"/>
      <c r="O605" s="8"/>
      <c r="P605" s="8"/>
      <c r="Q605" s="8"/>
      <c r="R605" s="8"/>
      <c r="S605" s="8"/>
      <c r="T605" s="8"/>
      <c r="U605" s="8"/>
      <c r="V605" s="8"/>
      <c r="W605" s="8"/>
      <c r="X605" s="8"/>
      <c r="Y605" s="8"/>
      <c r="Z605" s="8"/>
    </row>
    <row r="606" spans="2:26" ht="14.5" x14ac:dyDescent="0.35">
      <c r="B606" s="8"/>
      <c r="C606" s="8"/>
      <c r="D606" s="8"/>
      <c r="E606" s="8"/>
      <c r="F606" s="8"/>
      <c r="G606" s="8"/>
      <c r="H606" s="8"/>
      <c r="I606" s="8"/>
      <c r="J606" s="91"/>
      <c r="K606" s="8"/>
      <c r="L606" s="8"/>
      <c r="M606" s="8"/>
      <c r="N606" s="8"/>
      <c r="O606" s="8"/>
      <c r="P606" s="8"/>
      <c r="Q606" s="8"/>
      <c r="R606" s="8"/>
      <c r="S606" s="8"/>
      <c r="T606" s="8"/>
      <c r="U606" s="8"/>
      <c r="V606" s="8"/>
      <c r="W606" s="8"/>
      <c r="X606" s="8"/>
      <c r="Y606" s="8"/>
      <c r="Z606" s="8"/>
    </row>
    <row r="607" spans="2:26" ht="14.5" x14ac:dyDescent="0.35">
      <c r="B607" s="8"/>
      <c r="C607" s="8"/>
      <c r="D607" s="8"/>
      <c r="E607" s="8"/>
      <c r="F607" s="8"/>
      <c r="G607" s="8"/>
      <c r="H607" s="8"/>
      <c r="I607" s="8"/>
      <c r="J607" s="91"/>
      <c r="K607" s="8"/>
      <c r="L607" s="8"/>
      <c r="M607" s="8"/>
      <c r="N607" s="8"/>
      <c r="O607" s="8"/>
      <c r="P607" s="8"/>
      <c r="Q607" s="8"/>
      <c r="R607" s="8"/>
      <c r="S607" s="8"/>
      <c r="T607" s="8"/>
      <c r="U607" s="8"/>
      <c r="V607" s="8"/>
      <c r="W607" s="8"/>
      <c r="X607" s="8"/>
      <c r="Y607" s="8"/>
      <c r="Z607" s="8"/>
    </row>
    <row r="608" spans="2:26" ht="14.5" x14ac:dyDescent="0.35">
      <c r="B608" s="8"/>
      <c r="C608" s="8"/>
      <c r="D608" s="8"/>
      <c r="E608" s="8"/>
      <c r="F608" s="8"/>
      <c r="G608" s="8"/>
      <c r="H608" s="8"/>
      <c r="I608" s="8"/>
      <c r="J608" s="91"/>
      <c r="K608" s="8"/>
      <c r="L608" s="8"/>
      <c r="M608" s="8"/>
      <c r="N608" s="8"/>
      <c r="O608" s="8"/>
      <c r="P608" s="8"/>
      <c r="Q608" s="8"/>
      <c r="R608" s="8"/>
      <c r="S608" s="8"/>
      <c r="T608" s="8"/>
      <c r="U608" s="8"/>
      <c r="V608" s="8"/>
      <c r="W608" s="8"/>
      <c r="X608" s="8"/>
      <c r="Y608" s="8"/>
      <c r="Z608" s="8"/>
    </row>
    <row r="609" spans="2:26" ht="14.5" x14ac:dyDescent="0.35">
      <c r="B609" s="8"/>
      <c r="C609" s="8"/>
      <c r="D609" s="8"/>
      <c r="E609" s="8"/>
      <c r="F609" s="8"/>
      <c r="G609" s="8"/>
      <c r="H609" s="8"/>
      <c r="I609" s="8"/>
      <c r="J609" s="91"/>
      <c r="K609" s="8"/>
      <c r="L609" s="8"/>
      <c r="M609" s="8"/>
      <c r="N609" s="8"/>
      <c r="O609" s="8"/>
      <c r="P609" s="8"/>
      <c r="Q609" s="8"/>
      <c r="R609" s="8"/>
      <c r="S609" s="8"/>
      <c r="T609" s="8"/>
      <c r="U609" s="8"/>
      <c r="V609" s="8"/>
      <c r="W609" s="8"/>
      <c r="X609" s="8"/>
      <c r="Y609" s="8"/>
      <c r="Z609" s="8"/>
    </row>
    <row r="610" spans="2:26" ht="14.5" x14ac:dyDescent="0.35">
      <c r="B610" s="8"/>
      <c r="C610" s="8"/>
      <c r="D610" s="8"/>
      <c r="E610" s="8"/>
      <c r="F610" s="8"/>
      <c r="G610" s="8"/>
      <c r="H610" s="8"/>
      <c r="I610" s="8"/>
      <c r="J610" s="91"/>
      <c r="K610" s="8"/>
      <c r="L610" s="8"/>
      <c r="M610" s="8"/>
      <c r="N610" s="8"/>
      <c r="O610" s="8"/>
      <c r="P610" s="8"/>
      <c r="Q610" s="8"/>
      <c r="R610" s="8"/>
      <c r="S610" s="8"/>
      <c r="T610" s="8"/>
      <c r="U610" s="8"/>
      <c r="V610" s="8"/>
      <c r="W610" s="8"/>
      <c r="X610" s="8"/>
      <c r="Y610" s="8"/>
      <c r="Z610" s="8"/>
    </row>
    <row r="611" spans="2:26" ht="14.5" x14ac:dyDescent="0.35">
      <c r="B611" s="8"/>
      <c r="C611" s="8"/>
      <c r="D611" s="8"/>
      <c r="E611" s="8"/>
      <c r="F611" s="8"/>
      <c r="G611" s="8"/>
      <c r="H611" s="8"/>
      <c r="I611" s="8"/>
      <c r="J611" s="91"/>
      <c r="K611" s="8"/>
      <c r="L611" s="8"/>
      <c r="M611" s="8"/>
      <c r="N611" s="8"/>
      <c r="O611" s="8"/>
      <c r="P611" s="8"/>
      <c r="Q611" s="8"/>
      <c r="R611" s="8"/>
      <c r="S611" s="8"/>
      <c r="T611" s="8"/>
      <c r="U611" s="8"/>
      <c r="V611" s="8"/>
      <c r="W611" s="8"/>
      <c r="X611" s="8"/>
      <c r="Y611" s="8"/>
      <c r="Z611" s="8"/>
    </row>
    <row r="612" spans="2:26" ht="14.5" x14ac:dyDescent="0.35">
      <c r="B612" s="8"/>
      <c r="C612" s="8"/>
      <c r="D612" s="8"/>
      <c r="E612" s="8"/>
      <c r="F612" s="8"/>
      <c r="G612" s="8"/>
      <c r="H612" s="8"/>
      <c r="I612" s="8"/>
      <c r="J612" s="91"/>
      <c r="K612" s="8"/>
      <c r="L612" s="8"/>
      <c r="M612" s="8"/>
      <c r="N612" s="8"/>
      <c r="O612" s="8"/>
      <c r="P612" s="8"/>
      <c r="Q612" s="8"/>
      <c r="R612" s="8"/>
      <c r="S612" s="8"/>
      <c r="T612" s="8"/>
      <c r="U612" s="8"/>
      <c r="V612" s="8"/>
      <c r="W612" s="8"/>
      <c r="X612" s="8"/>
      <c r="Y612" s="8"/>
      <c r="Z612" s="8"/>
    </row>
    <row r="613" spans="2:26" ht="14.5" x14ac:dyDescent="0.35">
      <c r="B613" s="8"/>
      <c r="C613" s="8"/>
      <c r="D613" s="8"/>
      <c r="E613" s="8"/>
      <c r="F613" s="8"/>
      <c r="G613" s="8"/>
      <c r="H613" s="8"/>
      <c r="I613" s="8"/>
      <c r="J613" s="91"/>
      <c r="K613" s="8"/>
      <c r="L613" s="8"/>
      <c r="M613" s="8"/>
      <c r="N613" s="8"/>
      <c r="O613" s="8"/>
      <c r="P613" s="8"/>
      <c r="Q613" s="8"/>
      <c r="R613" s="8"/>
      <c r="S613" s="8"/>
      <c r="T613" s="8"/>
      <c r="U613" s="8"/>
      <c r="V613" s="8"/>
      <c r="W613" s="8"/>
      <c r="X613" s="8"/>
      <c r="Y613" s="8"/>
      <c r="Z613" s="8"/>
    </row>
    <row r="614" spans="2:26" ht="14.5" x14ac:dyDescent="0.35">
      <c r="B614" s="8"/>
      <c r="C614" s="8"/>
      <c r="D614" s="8"/>
      <c r="E614" s="8"/>
      <c r="F614" s="8"/>
      <c r="G614" s="8"/>
      <c r="H614" s="8"/>
      <c r="I614" s="8"/>
      <c r="J614" s="91"/>
      <c r="K614" s="8"/>
      <c r="L614" s="8"/>
      <c r="M614" s="8"/>
      <c r="N614" s="8"/>
      <c r="O614" s="8"/>
      <c r="P614" s="8"/>
      <c r="Q614" s="8"/>
      <c r="R614" s="8"/>
      <c r="S614" s="8"/>
      <c r="T614" s="8"/>
      <c r="U614" s="8"/>
      <c r="V614" s="8"/>
      <c r="W614" s="8"/>
      <c r="X614" s="8"/>
      <c r="Y614" s="8"/>
      <c r="Z614" s="8"/>
    </row>
    <row r="615" spans="2:26" ht="14.5" x14ac:dyDescent="0.35">
      <c r="B615" s="8"/>
      <c r="C615" s="8"/>
      <c r="D615" s="8"/>
      <c r="E615" s="8"/>
      <c r="F615" s="8"/>
      <c r="G615" s="8"/>
      <c r="H615" s="8"/>
      <c r="I615" s="8"/>
      <c r="J615" s="91"/>
      <c r="K615" s="8"/>
      <c r="L615" s="8"/>
      <c r="M615" s="8"/>
      <c r="N615" s="8"/>
      <c r="O615" s="8"/>
      <c r="P615" s="8"/>
      <c r="Q615" s="8"/>
      <c r="R615" s="8"/>
      <c r="S615" s="8"/>
      <c r="T615" s="8"/>
      <c r="U615" s="8"/>
      <c r="V615" s="8"/>
      <c r="W615" s="8"/>
      <c r="X615" s="8"/>
      <c r="Y615" s="8"/>
      <c r="Z615" s="8"/>
    </row>
    <row r="616" spans="2:26" ht="14.5" x14ac:dyDescent="0.35">
      <c r="B616" s="8"/>
      <c r="C616" s="8"/>
      <c r="D616" s="8"/>
      <c r="E616" s="8"/>
      <c r="F616" s="8"/>
      <c r="G616" s="8"/>
      <c r="H616" s="8"/>
      <c r="I616" s="8"/>
      <c r="J616" s="91"/>
      <c r="K616" s="8"/>
      <c r="L616" s="8"/>
      <c r="M616" s="8"/>
      <c r="N616" s="8"/>
      <c r="O616" s="8"/>
      <c r="P616" s="8"/>
      <c r="Q616" s="8"/>
      <c r="R616" s="8"/>
      <c r="S616" s="8"/>
      <c r="T616" s="8"/>
      <c r="U616" s="8"/>
      <c r="V616" s="8"/>
      <c r="W616" s="8"/>
      <c r="X616" s="8"/>
      <c r="Y616" s="8"/>
      <c r="Z616" s="8"/>
    </row>
    <row r="617" spans="2:26" ht="14.5" x14ac:dyDescent="0.35">
      <c r="B617" s="8"/>
      <c r="C617" s="8"/>
      <c r="D617" s="8"/>
      <c r="E617" s="8"/>
      <c r="F617" s="8"/>
      <c r="G617" s="8"/>
      <c r="H617" s="8"/>
      <c r="I617" s="8"/>
      <c r="J617" s="91"/>
      <c r="K617" s="8"/>
      <c r="L617" s="8"/>
      <c r="M617" s="8"/>
      <c r="N617" s="8"/>
      <c r="O617" s="8"/>
      <c r="P617" s="8"/>
      <c r="Q617" s="8"/>
      <c r="R617" s="8"/>
      <c r="S617" s="8"/>
      <c r="T617" s="8"/>
      <c r="U617" s="8"/>
      <c r="V617" s="8"/>
      <c r="W617" s="8"/>
      <c r="X617" s="8"/>
      <c r="Y617" s="8"/>
      <c r="Z617" s="8"/>
    </row>
    <row r="618" spans="2:26" ht="14.5" x14ac:dyDescent="0.35">
      <c r="B618" s="8"/>
      <c r="C618" s="8"/>
      <c r="D618" s="8"/>
      <c r="E618" s="8"/>
      <c r="F618" s="8"/>
      <c r="G618" s="8"/>
      <c r="H618" s="8"/>
      <c r="I618" s="8"/>
      <c r="J618" s="91"/>
      <c r="K618" s="8"/>
      <c r="L618" s="8"/>
      <c r="M618" s="8"/>
      <c r="N618" s="8"/>
      <c r="O618" s="8"/>
      <c r="P618" s="8"/>
      <c r="Q618" s="8"/>
      <c r="R618" s="8"/>
      <c r="S618" s="8"/>
      <c r="T618" s="8"/>
      <c r="U618" s="8"/>
      <c r="V618" s="8"/>
      <c r="W618" s="8"/>
      <c r="X618" s="8"/>
      <c r="Y618" s="8"/>
      <c r="Z618" s="8"/>
    </row>
    <row r="619" spans="2:26" ht="14.5" x14ac:dyDescent="0.35">
      <c r="B619" s="8"/>
      <c r="C619" s="8"/>
      <c r="D619" s="8"/>
      <c r="E619" s="8"/>
      <c r="F619" s="8"/>
      <c r="G619" s="8"/>
      <c r="H619" s="8"/>
      <c r="I619" s="8"/>
      <c r="J619" s="91"/>
      <c r="K619" s="8"/>
      <c r="L619" s="8"/>
      <c r="M619" s="8"/>
      <c r="N619" s="8"/>
      <c r="O619" s="8"/>
      <c r="P619" s="8"/>
      <c r="Q619" s="8"/>
      <c r="R619" s="8"/>
      <c r="S619" s="8"/>
      <c r="T619" s="8"/>
      <c r="U619" s="8"/>
      <c r="V619" s="8"/>
      <c r="W619" s="8"/>
      <c r="X619" s="8"/>
      <c r="Y619" s="8"/>
      <c r="Z619" s="8"/>
    </row>
    <row r="620" spans="2:26" ht="14.5" x14ac:dyDescent="0.35">
      <c r="B620" s="8"/>
      <c r="C620" s="8"/>
      <c r="D620" s="8"/>
      <c r="E620" s="8"/>
      <c r="F620" s="8"/>
      <c r="G620" s="8"/>
      <c r="H620" s="8"/>
      <c r="I620" s="8"/>
      <c r="J620" s="91"/>
      <c r="K620" s="8"/>
      <c r="L620" s="8"/>
      <c r="M620" s="8"/>
      <c r="N620" s="8"/>
      <c r="O620" s="8"/>
      <c r="P620" s="8"/>
      <c r="Q620" s="8"/>
      <c r="R620" s="8"/>
      <c r="S620" s="8"/>
      <c r="T620" s="8"/>
      <c r="U620" s="8"/>
      <c r="V620" s="8"/>
      <c r="W620" s="8"/>
      <c r="X620" s="8"/>
      <c r="Y620" s="8"/>
      <c r="Z620" s="8"/>
    </row>
    <row r="621" spans="2:26" ht="14.5" x14ac:dyDescent="0.35">
      <c r="B621" s="8"/>
      <c r="C621" s="8"/>
      <c r="D621" s="8"/>
      <c r="E621" s="8"/>
      <c r="F621" s="8"/>
      <c r="G621" s="8"/>
      <c r="H621" s="8"/>
      <c r="I621" s="8"/>
      <c r="J621" s="91"/>
      <c r="K621" s="8"/>
      <c r="L621" s="8"/>
      <c r="M621" s="8"/>
      <c r="N621" s="8"/>
      <c r="O621" s="8"/>
      <c r="P621" s="8"/>
      <c r="Q621" s="8"/>
      <c r="R621" s="8"/>
      <c r="S621" s="8"/>
      <c r="T621" s="8"/>
      <c r="U621" s="8"/>
      <c r="V621" s="8"/>
      <c r="W621" s="8"/>
      <c r="X621" s="8"/>
      <c r="Y621" s="8"/>
      <c r="Z621" s="8"/>
    </row>
    <row r="622" spans="2:26" ht="14.5" x14ac:dyDescent="0.35">
      <c r="B622" s="8"/>
      <c r="C622" s="8"/>
      <c r="D622" s="8"/>
      <c r="E622" s="8"/>
      <c r="F622" s="8"/>
      <c r="G622" s="8"/>
      <c r="H622" s="8"/>
      <c r="I622" s="8"/>
      <c r="J622" s="91"/>
      <c r="K622" s="8"/>
      <c r="L622" s="8"/>
      <c r="M622" s="8"/>
      <c r="N622" s="8"/>
      <c r="O622" s="8"/>
      <c r="P622" s="8"/>
      <c r="Q622" s="8"/>
      <c r="R622" s="8"/>
      <c r="S622" s="8"/>
      <c r="T622" s="8"/>
      <c r="U622" s="8"/>
      <c r="V622" s="8"/>
      <c r="W622" s="8"/>
      <c r="X622" s="8"/>
      <c r="Y622" s="8"/>
      <c r="Z622" s="8"/>
    </row>
    <row r="623" spans="2:26" ht="14.5" x14ac:dyDescent="0.35">
      <c r="B623" s="8"/>
      <c r="C623" s="8"/>
      <c r="D623" s="8"/>
      <c r="E623" s="8"/>
      <c r="F623" s="8"/>
      <c r="G623" s="8"/>
      <c r="H623" s="8"/>
      <c r="I623" s="8"/>
      <c r="J623" s="91"/>
      <c r="K623" s="8"/>
      <c r="L623" s="8"/>
      <c r="M623" s="8"/>
      <c r="N623" s="8"/>
      <c r="O623" s="8"/>
      <c r="P623" s="8"/>
      <c r="Q623" s="8"/>
      <c r="R623" s="8"/>
      <c r="S623" s="8"/>
      <c r="T623" s="8"/>
      <c r="U623" s="8"/>
      <c r="V623" s="8"/>
      <c r="W623" s="8"/>
      <c r="X623" s="8"/>
      <c r="Y623" s="8"/>
      <c r="Z623" s="8"/>
    </row>
    <row r="624" spans="2:26" ht="14.5" x14ac:dyDescent="0.35">
      <c r="B624" s="8"/>
      <c r="C624" s="8"/>
      <c r="D624" s="8"/>
      <c r="E624" s="8"/>
      <c r="F624" s="8"/>
      <c r="G624" s="8"/>
      <c r="H624" s="8"/>
      <c r="I624" s="8"/>
      <c r="J624" s="91"/>
      <c r="K624" s="8"/>
      <c r="L624" s="8"/>
      <c r="M624" s="8"/>
      <c r="N624" s="8"/>
      <c r="O624" s="8"/>
      <c r="P624" s="8"/>
      <c r="Q624" s="8"/>
      <c r="R624" s="8"/>
      <c r="S624" s="8"/>
      <c r="T624" s="8"/>
      <c r="U624" s="8"/>
      <c r="V624" s="8"/>
      <c r="W624" s="8"/>
      <c r="X624" s="8"/>
      <c r="Y624" s="8"/>
      <c r="Z624" s="8"/>
    </row>
    <row r="625" spans="2:26" ht="14.5" x14ac:dyDescent="0.35">
      <c r="B625" s="8"/>
      <c r="C625" s="8"/>
      <c r="D625" s="8"/>
      <c r="E625" s="8"/>
      <c r="F625" s="8"/>
      <c r="G625" s="8"/>
      <c r="H625" s="8"/>
      <c r="I625" s="8"/>
      <c r="J625" s="91"/>
      <c r="K625" s="8"/>
      <c r="L625" s="8"/>
      <c r="M625" s="8"/>
      <c r="N625" s="8"/>
      <c r="O625" s="8"/>
      <c r="P625" s="8"/>
      <c r="Q625" s="8"/>
      <c r="R625" s="8"/>
      <c r="S625" s="8"/>
      <c r="T625" s="8"/>
      <c r="U625" s="8"/>
      <c r="V625" s="8"/>
      <c r="W625" s="8"/>
      <c r="X625" s="8"/>
      <c r="Y625" s="8"/>
      <c r="Z625" s="8"/>
    </row>
    <row r="626" spans="2:26" ht="14.5" x14ac:dyDescent="0.35">
      <c r="B626" s="8"/>
      <c r="C626" s="8"/>
      <c r="D626" s="8"/>
      <c r="E626" s="8"/>
      <c r="F626" s="8"/>
      <c r="G626" s="8"/>
      <c r="H626" s="8"/>
      <c r="I626" s="8"/>
      <c r="J626" s="91"/>
      <c r="K626" s="8"/>
      <c r="L626" s="8"/>
      <c r="M626" s="8"/>
      <c r="N626" s="8"/>
      <c r="O626" s="8"/>
      <c r="P626" s="8"/>
      <c r="Q626" s="8"/>
      <c r="R626" s="8"/>
      <c r="S626" s="8"/>
      <c r="T626" s="8"/>
      <c r="U626" s="8"/>
      <c r="V626" s="8"/>
      <c r="W626" s="8"/>
      <c r="X626" s="8"/>
      <c r="Y626" s="8"/>
      <c r="Z626" s="8"/>
    </row>
    <row r="627" spans="2:26" ht="14.5" x14ac:dyDescent="0.35">
      <c r="B627" s="8"/>
      <c r="C627" s="8"/>
      <c r="D627" s="8"/>
      <c r="E627" s="8"/>
      <c r="F627" s="8"/>
      <c r="G627" s="8"/>
      <c r="H627" s="8"/>
      <c r="I627" s="8"/>
      <c r="J627" s="91"/>
      <c r="K627" s="8"/>
      <c r="L627" s="8"/>
      <c r="M627" s="8"/>
      <c r="N627" s="8"/>
      <c r="O627" s="8"/>
      <c r="P627" s="8"/>
      <c r="Q627" s="8"/>
      <c r="R627" s="8"/>
      <c r="S627" s="8"/>
      <c r="T627" s="8"/>
      <c r="U627" s="8"/>
      <c r="V627" s="8"/>
      <c r="W627" s="8"/>
      <c r="X627" s="8"/>
      <c r="Y627" s="8"/>
      <c r="Z627" s="8"/>
    </row>
    <row r="628" spans="2:26" ht="14.5" x14ac:dyDescent="0.35">
      <c r="B628" s="8"/>
      <c r="C628" s="8"/>
      <c r="D628" s="8"/>
      <c r="E628" s="8"/>
      <c r="F628" s="8"/>
      <c r="G628" s="8"/>
      <c r="H628" s="8"/>
      <c r="I628" s="8"/>
      <c r="J628" s="91"/>
      <c r="K628" s="8"/>
      <c r="L628" s="8"/>
      <c r="M628" s="8"/>
      <c r="N628" s="8"/>
      <c r="O628" s="8"/>
      <c r="P628" s="8"/>
      <c r="Q628" s="8"/>
      <c r="R628" s="8"/>
      <c r="S628" s="8"/>
      <c r="T628" s="8"/>
      <c r="U628" s="8"/>
      <c r="V628" s="8"/>
      <c r="W628" s="8"/>
      <c r="X628" s="8"/>
      <c r="Y628" s="8"/>
      <c r="Z628" s="8"/>
    </row>
    <row r="629" spans="2:26" ht="14.5" x14ac:dyDescent="0.35">
      <c r="B629" s="8"/>
      <c r="C629" s="8"/>
      <c r="D629" s="8"/>
      <c r="E629" s="8"/>
      <c r="F629" s="8"/>
      <c r="G629" s="8"/>
      <c r="H629" s="8"/>
      <c r="I629" s="8"/>
      <c r="J629" s="91"/>
      <c r="K629" s="8"/>
      <c r="L629" s="8"/>
      <c r="M629" s="8"/>
      <c r="N629" s="8"/>
      <c r="O629" s="8"/>
      <c r="P629" s="8"/>
      <c r="Q629" s="8"/>
      <c r="R629" s="8"/>
      <c r="S629" s="8"/>
      <c r="T629" s="8"/>
      <c r="U629" s="8"/>
      <c r="V629" s="8"/>
      <c r="W629" s="8"/>
      <c r="X629" s="8"/>
      <c r="Y629" s="8"/>
      <c r="Z629" s="8"/>
    </row>
    <row r="630" spans="2:26" ht="14.5" x14ac:dyDescent="0.35">
      <c r="B630" s="8"/>
      <c r="C630" s="8"/>
      <c r="D630" s="8"/>
      <c r="E630" s="8"/>
      <c r="F630" s="8"/>
      <c r="G630" s="8"/>
      <c r="H630" s="8"/>
      <c r="I630" s="8"/>
      <c r="J630" s="91"/>
      <c r="K630" s="8"/>
      <c r="L630" s="8"/>
      <c r="M630" s="8"/>
      <c r="N630" s="8"/>
      <c r="O630" s="8"/>
      <c r="P630" s="8"/>
      <c r="Q630" s="8"/>
      <c r="R630" s="8"/>
      <c r="S630" s="8"/>
      <c r="T630" s="8"/>
      <c r="U630" s="8"/>
      <c r="V630" s="8"/>
      <c r="W630" s="8"/>
      <c r="X630" s="8"/>
      <c r="Y630" s="8"/>
      <c r="Z630" s="8"/>
    </row>
    <row r="631" spans="2:26" ht="14.5" x14ac:dyDescent="0.35">
      <c r="B631" s="8"/>
      <c r="C631" s="8"/>
      <c r="D631" s="8"/>
      <c r="E631" s="8"/>
      <c r="F631" s="8"/>
      <c r="G631" s="8"/>
      <c r="H631" s="8"/>
      <c r="I631" s="8"/>
      <c r="J631" s="91"/>
      <c r="K631" s="8"/>
      <c r="L631" s="8"/>
      <c r="M631" s="8"/>
      <c r="N631" s="8"/>
      <c r="O631" s="8"/>
      <c r="P631" s="8"/>
      <c r="Q631" s="8"/>
      <c r="R631" s="8"/>
      <c r="S631" s="8"/>
      <c r="T631" s="8"/>
      <c r="U631" s="8"/>
      <c r="V631" s="8"/>
      <c r="W631" s="8"/>
      <c r="X631" s="8"/>
      <c r="Y631" s="8"/>
      <c r="Z631" s="8"/>
    </row>
    <row r="632" spans="2:26" ht="14.5" x14ac:dyDescent="0.35">
      <c r="B632" s="8"/>
      <c r="C632" s="8"/>
      <c r="D632" s="8"/>
      <c r="E632" s="8"/>
      <c r="F632" s="8"/>
      <c r="G632" s="8"/>
      <c r="H632" s="8"/>
      <c r="I632" s="8"/>
      <c r="J632" s="91"/>
      <c r="K632" s="8"/>
      <c r="L632" s="8"/>
      <c r="M632" s="8"/>
      <c r="N632" s="8"/>
      <c r="O632" s="8"/>
      <c r="P632" s="8"/>
      <c r="Q632" s="8"/>
      <c r="R632" s="8"/>
      <c r="S632" s="8"/>
      <c r="T632" s="8"/>
      <c r="U632" s="8"/>
      <c r="V632" s="8"/>
      <c r="W632" s="8"/>
      <c r="X632" s="8"/>
      <c r="Y632" s="8"/>
      <c r="Z632" s="8"/>
    </row>
    <row r="633" spans="2:26" ht="14.5" x14ac:dyDescent="0.35">
      <c r="B633" s="8"/>
      <c r="C633" s="8"/>
      <c r="D633" s="8"/>
      <c r="E633" s="8"/>
      <c r="F633" s="8"/>
      <c r="G633" s="8"/>
      <c r="H633" s="8"/>
      <c r="I633" s="8"/>
      <c r="J633" s="91"/>
      <c r="K633" s="8"/>
      <c r="L633" s="8"/>
      <c r="M633" s="8"/>
      <c r="N633" s="8"/>
      <c r="O633" s="8"/>
      <c r="P633" s="8"/>
      <c r="Q633" s="8"/>
      <c r="R633" s="8"/>
      <c r="S633" s="8"/>
      <c r="T633" s="8"/>
      <c r="U633" s="8"/>
      <c r="V633" s="8"/>
      <c r="W633" s="8"/>
      <c r="X633" s="8"/>
      <c r="Y633" s="8"/>
      <c r="Z633" s="8"/>
    </row>
    <row r="634" spans="2:26" ht="14.5" x14ac:dyDescent="0.35">
      <c r="B634" s="8"/>
      <c r="C634" s="8"/>
      <c r="D634" s="8"/>
      <c r="E634" s="8"/>
      <c r="F634" s="8"/>
      <c r="G634" s="8"/>
      <c r="H634" s="8"/>
      <c r="I634" s="8"/>
      <c r="J634" s="91"/>
      <c r="K634" s="8"/>
      <c r="L634" s="8"/>
      <c r="M634" s="8"/>
      <c r="N634" s="8"/>
      <c r="O634" s="8"/>
      <c r="P634" s="8"/>
      <c r="Q634" s="8"/>
      <c r="R634" s="8"/>
      <c r="S634" s="8"/>
      <c r="T634" s="8"/>
      <c r="U634" s="8"/>
      <c r="V634" s="8"/>
      <c r="W634" s="8"/>
      <c r="X634" s="8"/>
      <c r="Y634" s="8"/>
      <c r="Z634" s="8"/>
    </row>
    <row r="635" spans="2:26" ht="14.5" x14ac:dyDescent="0.35">
      <c r="B635" s="8"/>
      <c r="C635" s="8"/>
      <c r="D635" s="8"/>
      <c r="E635" s="8"/>
      <c r="F635" s="8"/>
      <c r="G635" s="8"/>
      <c r="H635" s="8"/>
      <c r="I635" s="8"/>
      <c r="J635" s="91"/>
      <c r="K635" s="8"/>
      <c r="L635" s="8"/>
      <c r="M635" s="8"/>
      <c r="N635" s="8"/>
      <c r="O635" s="8"/>
      <c r="P635" s="8"/>
      <c r="Q635" s="8"/>
      <c r="R635" s="8"/>
      <c r="S635" s="8"/>
      <c r="T635" s="8"/>
      <c r="U635" s="8"/>
      <c r="V635" s="8"/>
      <c r="W635" s="8"/>
      <c r="X635" s="8"/>
      <c r="Y635" s="8"/>
      <c r="Z635" s="8"/>
    </row>
    <row r="636" spans="2:26" ht="14.5" x14ac:dyDescent="0.35">
      <c r="B636" s="8"/>
      <c r="C636" s="8"/>
      <c r="D636" s="8"/>
      <c r="E636" s="8"/>
      <c r="F636" s="8"/>
      <c r="G636" s="8"/>
      <c r="H636" s="8"/>
      <c r="I636" s="8"/>
      <c r="J636" s="91"/>
      <c r="K636" s="8"/>
      <c r="L636" s="8"/>
      <c r="M636" s="8"/>
      <c r="N636" s="8"/>
      <c r="O636" s="8"/>
      <c r="P636" s="8"/>
      <c r="Q636" s="8"/>
      <c r="R636" s="8"/>
      <c r="S636" s="8"/>
      <c r="T636" s="8"/>
      <c r="U636" s="8"/>
      <c r="V636" s="8"/>
      <c r="W636" s="8"/>
      <c r="X636" s="8"/>
      <c r="Y636" s="8"/>
      <c r="Z636" s="8"/>
    </row>
    <row r="637" spans="2:26" ht="14.5" x14ac:dyDescent="0.35">
      <c r="B637" s="8"/>
      <c r="C637" s="8"/>
      <c r="D637" s="8"/>
      <c r="E637" s="8"/>
      <c r="F637" s="8"/>
      <c r="G637" s="8"/>
      <c r="H637" s="8"/>
      <c r="I637" s="8"/>
      <c r="J637" s="91"/>
      <c r="K637" s="8"/>
      <c r="L637" s="8"/>
      <c r="M637" s="8"/>
      <c r="N637" s="8"/>
      <c r="O637" s="8"/>
      <c r="P637" s="8"/>
      <c r="Q637" s="8"/>
      <c r="R637" s="8"/>
      <c r="S637" s="8"/>
      <c r="T637" s="8"/>
      <c r="U637" s="8"/>
      <c r="V637" s="8"/>
      <c r="W637" s="8"/>
      <c r="X637" s="8"/>
      <c r="Y637" s="8"/>
      <c r="Z637" s="8"/>
    </row>
    <row r="638" spans="2:26" ht="14.5" x14ac:dyDescent="0.35">
      <c r="B638" s="8"/>
      <c r="C638" s="8"/>
      <c r="D638" s="8"/>
      <c r="E638" s="8"/>
      <c r="F638" s="8"/>
      <c r="G638" s="8"/>
      <c r="H638" s="8"/>
      <c r="I638" s="8"/>
      <c r="J638" s="91"/>
      <c r="K638" s="8"/>
      <c r="L638" s="8"/>
      <c r="M638" s="8"/>
      <c r="N638" s="8"/>
      <c r="O638" s="8"/>
      <c r="P638" s="8"/>
      <c r="Q638" s="8"/>
      <c r="R638" s="8"/>
      <c r="S638" s="8"/>
      <c r="T638" s="8"/>
      <c r="U638" s="8"/>
      <c r="V638" s="8"/>
      <c r="W638" s="8"/>
      <c r="X638" s="8"/>
      <c r="Y638" s="8"/>
      <c r="Z638" s="8"/>
    </row>
    <row r="639" spans="2:26" ht="14.5" x14ac:dyDescent="0.35">
      <c r="B639" s="8"/>
      <c r="C639" s="8"/>
      <c r="D639" s="8"/>
      <c r="E639" s="8"/>
      <c r="F639" s="8"/>
      <c r="G639" s="8"/>
      <c r="H639" s="8"/>
      <c r="I639" s="8"/>
      <c r="J639" s="91"/>
      <c r="K639" s="8"/>
      <c r="L639" s="8"/>
      <c r="M639" s="8"/>
      <c r="N639" s="8"/>
      <c r="O639" s="8"/>
      <c r="P639" s="8"/>
      <c r="Q639" s="8"/>
      <c r="R639" s="8"/>
      <c r="S639" s="8"/>
      <c r="T639" s="8"/>
      <c r="U639" s="8"/>
      <c r="V639" s="8"/>
      <c r="W639" s="8"/>
      <c r="X639" s="8"/>
      <c r="Y639" s="8"/>
      <c r="Z639" s="8"/>
    </row>
    <row r="640" spans="2:26" ht="14.5" x14ac:dyDescent="0.35">
      <c r="B640" s="8"/>
      <c r="C640" s="8"/>
      <c r="D640" s="8"/>
      <c r="E640" s="8"/>
      <c r="F640" s="8"/>
      <c r="G640" s="8"/>
      <c r="H640" s="8"/>
      <c r="I640" s="8"/>
      <c r="J640" s="91"/>
      <c r="K640" s="8"/>
      <c r="L640" s="8"/>
      <c r="M640" s="8"/>
      <c r="N640" s="8"/>
      <c r="O640" s="8"/>
      <c r="P640" s="8"/>
      <c r="Q640" s="8"/>
      <c r="R640" s="8"/>
      <c r="S640" s="8"/>
      <c r="T640" s="8"/>
      <c r="U640" s="8"/>
      <c r="V640" s="8"/>
      <c r="W640" s="8"/>
      <c r="X640" s="8"/>
      <c r="Y640" s="8"/>
      <c r="Z640" s="8"/>
    </row>
    <row r="641" spans="2:26" ht="14.5" x14ac:dyDescent="0.35">
      <c r="B641" s="8"/>
      <c r="C641" s="8"/>
      <c r="D641" s="8"/>
      <c r="E641" s="8"/>
      <c r="F641" s="8"/>
      <c r="G641" s="8"/>
      <c r="H641" s="8"/>
      <c r="I641" s="8"/>
      <c r="J641" s="91"/>
      <c r="K641" s="8"/>
      <c r="L641" s="8"/>
      <c r="M641" s="8"/>
      <c r="N641" s="8"/>
      <c r="O641" s="8"/>
      <c r="P641" s="8"/>
      <c r="Q641" s="8"/>
      <c r="R641" s="8"/>
      <c r="S641" s="8"/>
      <c r="T641" s="8"/>
      <c r="U641" s="8"/>
      <c r="V641" s="8"/>
      <c r="W641" s="8"/>
      <c r="X641" s="8"/>
      <c r="Y641" s="8"/>
      <c r="Z641" s="8"/>
    </row>
    <row r="642" spans="2:26" ht="14.5" x14ac:dyDescent="0.35">
      <c r="B642" s="8"/>
      <c r="C642" s="8"/>
      <c r="D642" s="8"/>
      <c r="E642" s="8"/>
      <c r="F642" s="8"/>
      <c r="G642" s="8"/>
      <c r="H642" s="8"/>
      <c r="I642" s="8"/>
      <c r="J642" s="91"/>
      <c r="K642" s="8"/>
      <c r="L642" s="8"/>
      <c r="M642" s="8"/>
      <c r="N642" s="8"/>
      <c r="O642" s="8"/>
      <c r="P642" s="8"/>
      <c r="Q642" s="8"/>
      <c r="R642" s="8"/>
      <c r="S642" s="8"/>
      <c r="T642" s="8"/>
      <c r="U642" s="8"/>
      <c r="V642" s="8"/>
      <c r="W642" s="8"/>
      <c r="X642" s="8"/>
      <c r="Y642" s="8"/>
      <c r="Z642" s="8"/>
    </row>
    <row r="643" spans="2:26" ht="14.5" x14ac:dyDescent="0.35">
      <c r="B643" s="8"/>
      <c r="C643" s="8"/>
      <c r="D643" s="8"/>
      <c r="E643" s="8"/>
      <c r="F643" s="8"/>
      <c r="G643" s="8"/>
      <c r="H643" s="8"/>
      <c r="I643" s="8"/>
      <c r="J643" s="91"/>
      <c r="K643" s="8"/>
      <c r="L643" s="8"/>
      <c r="M643" s="8"/>
      <c r="N643" s="8"/>
      <c r="O643" s="8"/>
      <c r="P643" s="8"/>
      <c r="Q643" s="8"/>
      <c r="R643" s="8"/>
      <c r="S643" s="8"/>
      <c r="T643" s="8"/>
      <c r="U643" s="8"/>
      <c r="V643" s="8"/>
      <c r="W643" s="8"/>
      <c r="X643" s="8"/>
      <c r="Y643" s="8"/>
      <c r="Z643" s="8"/>
    </row>
    <row r="644" spans="2:26" ht="14.5" x14ac:dyDescent="0.35">
      <c r="B644" s="8"/>
      <c r="C644" s="8"/>
      <c r="D644" s="8"/>
      <c r="E644" s="8"/>
      <c r="F644" s="8"/>
      <c r="G644" s="8"/>
      <c r="H644" s="8"/>
      <c r="I644" s="8"/>
      <c r="J644" s="91"/>
      <c r="K644" s="8"/>
      <c r="L644" s="8"/>
      <c r="M644" s="8"/>
      <c r="N644" s="8"/>
      <c r="O644" s="8"/>
      <c r="P644" s="8"/>
      <c r="Q644" s="8"/>
      <c r="R644" s="8"/>
      <c r="S644" s="8"/>
      <c r="T644" s="8"/>
      <c r="U644" s="8"/>
      <c r="V644" s="8"/>
      <c r="W644" s="8"/>
      <c r="X644" s="8"/>
      <c r="Y644" s="8"/>
      <c r="Z644" s="8"/>
    </row>
    <row r="645" spans="2:26" ht="14.5" x14ac:dyDescent="0.35">
      <c r="B645" s="8"/>
      <c r="C645" s="8"/>
      <c r="D645" s="8"/>
      <c r="E645" s="8"/>
      <c r="F645" s="8"/>
      <c r="G645" s="8"/>
      <c r="H645" s="8"/>
      <c r="I645" s="8"/>
      <c r="J645" s="91"/>
      <c r="K645" s="8"/>
      <c r="L645" s="8"/>
      <c r="M645" s="8"/>
      <c r="N645" s="8"/>
      <c r="O645" s="8"/>
      <c r="P645" s="8"/>
      <c r="Q645" s="8"/>
      <c r="R645" s="8"/>
      <c r="S645" s="8"/>
      <c r="T645" s="8"/>
      <c r="U645" s="8"/>
      <c r="V645" s="8"/>
      <c r="W645" s="8"/>
      <c r="X645" s="8"/>
      <c r="Y645" s="8"/>
      <c r="Z645" s="8"/>
    </row>
    <row r="646" spans="2:26" ht="14.5" x14ac:dyDescent="0.35">
      <c r="B646" s="8"/>
      <c r="C646" s="8"/>
      <c r="D646" s="8"/>
      <c r="E646" s="8"/>
      <c r="F646" s="8"/>
      <c r="G646" s="8"/>
      <c r="H646" s="8"/>
      <c r="I646" s="8"/>
      <c r="J646" s="91"/>
      <c r="K646" s="8"/>
      <c r="L646" s="8"/>
      <c r="M646" s="8"/>
      <c r="N646" s="8"/>
      <c r="O646" s="8"/>
      <c r="P646" s="8"/>
      <c r="Q646" s="8"/>
      <c r="R646" s="8"/>
      <c r="S646" s="8"/>
      <c r="T646" s="8"/>
      <c r="U646" s="8"/>
      <c r="V646" s="8"/>
      <c r="W646" s="8"/>
      <c r="X646" s="8"/>
      <c r="Y646" s="8"/>
      <c r="Z646" s="8"/>
    </row>
    <row r="647" spans="2:26" ht="14.5" x14ac:dyDescent="0.35">
      <c r="B647" s="8"/>
      <c r="C647" s="8"/>
      <c r="D647" s="8"/>
      <c r="E647" s="8"/>
      <c r="F647" s="8"/>
      <c r="G647" s="8"/>
      <c r="H647" s="8"/>
      <c r="I647" s="8"/>
      <c r="J647" s="91"/>
      <c r="K647" s="8"/>
      <c r="L647" s="8"/>
      <c r="M647" s="8"/>
      <c r="N647" s="8"/>
      <c r="O647" s="8"/>
      <c r="P647" s="8"/>
      <c r="Q647" s="8"/>
      <c r="R647" s="8"/>
      <c r="S647" s="8"/>
      <c r="T647" s="8"/>
      <c r="U647" s="8"/>
      <c r="V647" s="8"/>
      <c r="W647" s="8"/>
      <c r="X647" s="8"/>
      <c r="Y647" s="8"/>
      <c r="Z647" s="8"/>
    </row>
    <row r="648" spans="2:26" ht="14.5" x14ac:dyDescent="0.35">
      <c r="B648" s="8"/>
      <c r="C648" s="8"/>
      <c r="D648" s="8"/>
      <c r="E648" s="8"/>
      <c r="F648" s="8"/>
      <c r="G648" s="8"/>
      <c r="H648" s="8"/>
      <c r="I648" s="8"/>
      <c r="J648" s="91"/>
      <c r="K648" s="8"/>
      <c r="L648" s="8"/>
      <c r="M648" s="8"/>
      <c r="N648" s="8"/>
      <c r="O648" s="8"/>
      <c r="P648" s="8"/>
      <c r="Q648" s="8"/>
      <c r="R648" s="8"/>
      <c r="S648" s="8"/>
      <c r="T648" s="8"/>
      <c r="U648" s="8"/>
      <c r="V648" s="8"/>
      <c r="W648" s="8"/>
      <c r="X648" s="8"/>
      <c r="Y648" s="8"/>
      <c r="Z648" s="8"/>
    </row>
    <row r="649" spans="2:26" ht="14.5" x14ac:dyDescent="0.35">
      <c r="B649" s="8"/>
      <c r="C649" s="8"/>
      <c r="D649" s="8"/>
      <c r="E649" s="8"/>
      <c r="F649" s="8"/>
      <c r="G649" s="8"/>
      <c r="H649" s="8"/>
      <c r="I649" s="8"/>
      <c r="J649" s="91"/>
      <c r="K649" s="8"/>
      <c r="L649" s="8"/>
      <c r="M649" s="8"/>
      <c r="N649" s="8"/>
      <c r="O649" s="8"/>
      <c r="P649" s="8"/>
      <c r="Q649" s="8"/>
      <c r="R649" s="8"/>
      <c r="S649" s="8"/>
      <c r="T649" s="8"/>
      <c r="U649" s="8"/>
      <c r="V649" s="8"/>
      <c r="W649" s="8"/>
      <c r="X649" s="8"/>
      <c r="Y649" s="8"/>
      <c r="Z649" s="8"/>
    </row>
    <row r="650" spans="2:26" ht="14.5" x14ac:dyDescent="0.35">
      <c r="B650" s="8"/>
      <c r="C650" s="8"/>
      <c r="D650" s="8"/>
      <c r="E650" s="8"/>
      <c r="F650" s="8"/>
      <c r="G650" s="8"/>
      <c r="H650" s="8"/>
      <c r="I650" s="8"/>
      <c r="J650" s="91"/>
      <c r="K650" s="8"/>
      <c r="L650" s="8"/>
      <c r="M650" s="8"/>
      <c r="N650" s="8"/>
      <c r="O650" s="8"/>
      <c r="P650" s="8"/>
      <c r="Q650" s="8"/>
      <c r="R650" s="8"/>
      <c r="S650" s="8"/>
      <c r="T650" s="8"/>
      <c r="U650" s="8"/>
      <c r="V650" s="8"/>
      <c r="W650" s="8"/>
      <c r="X650" s="8"/>
      <c r="Y650" s="8"/>
      <c r="Z650" s="8"/>
    </row>
    <row r="651" spans="2:26" ht="14.5" x14ac:dyDescent="0.35">
      <c r="B651" s="8"/>
      <c r="C651" s="8"/>
      <c r="D651" s="8"/>
      <c r="E651" s="8"/>
      <c r="F651" s="8"/>
      <c r="G651" s="8"/>
      <c r="H651" s="8"/>
      <c r="I651" s="8"/>
      <c r="J651" s="91"/>
      <c r="K651" s="8"/>
      <c r="L651" s="8"/>
      <c r="M651" s="8"/>
      <c r="N651" s="8"/>
      <c r="O651" s="8"/>
      <c r="P651" s="8"/>
      <c r="Q651" s="8"/>
      <c r="R651" s="8"/>
      <c r="S651" s="8"/>
      <c r="T651" s="8"/>
      <c r="U651" s="8"/>
      <c r="V651" s="8"/>
      <c r="W651" s="8"/>
      <c r="X651" s="8"/>
      <c r="Y651" s="8"/>
      <c r="Z651" s="8"/>
    </row>
    <row r="652" spans="2:26" ht="14.5" x14ac:dyDescent="0.35">
      <c r="B652" s="8"/>
      <c r="C652" s="8"/>
      <c r="D652" s="8"/>
      <c r="E652" s="8"/>
      <c r="F652" s="8"/>
      <c r="G652" s="8"/>
      <c r="H652" s="8"/>
      <c r="I652" s="8"/>
      <c r="J652" s="91"/>
      <c r="K652" s="8"/>
      <c r="L652" s="8"/>
      <c r="M652" s="8"/>
      <c r="N652" s="8"/>
      <c r="O652" s="8"/>
      <c r="P652" s="8"/>
      <c r="Q652" s="8"/>
      <c r="R652" s="8"/>
      <c r="S652" s="8"/>
      <c r="T652" s="8"/>
      <c r="U652" s="8"/>
      <c r="V652" s="8"/>
      <c r="W652" s="8"/>
      <c r="X652" s="8"/>
      <c r="Y652" s="8"/>
      <c r="Z652" s="8"/>
    </row>
    <row r="653" spans="2:26" ht="14.5" x14ac:dyDescent="0.35">
      <c r="B653" s="8"/>
      <c r="C653" s="8"/>
      <c r="D653" s="8"/>
      <c r="E653" s="8"/>
      <c r="F653" s="8"/>
      <c r="G653" s="8"/>
      <c r="H653" s="8"/>
      <c r="I653" s="8"/>
      <c r="J653" s="91"/>
      <c r="K653" s="8"/>
      <c r="L653" s="8"/>
      <c r="M653" s="8"/>
      <c r="N653" s="8"/>
      <c r="O653" s="8"/>
      <c r="P653" s="8"/>
      <c r="Q653" s="8"/>
      <c r="R653" s="8"/>
      <c r="S653" s="8"/>
      <c r="T653" s="8"/>
      <c r="U653" s="8"/>
      <c r="V653" s="8"/>
      <c r="W653" s="8"/>
      <c r="X653" s="8"/>
      <c r="Y653" s="8"/>
      <c r="Z653" s="8"/>
    </row>
    <row r="654" spans="2:26" ht="14.5" x14ac:dyDescent="0.35">
      <c r="B654" s="8"/>
      <c r="C654" s="8"/>
      <c r="D654" s="8"/>
      <c r="E654" s="8"/>
      <c r="F654" s="8"/>
      <c r="G654" s="8"/>
      <c r="H654" s="8"/>
      <c r="I654" s="8"/>
      <c r="J654" s="91"/>
      <c r="K654" s="8"/>
      <c r="L654" s="8"/>
      <c r="M654" s="8"/>
      <c r="N654" s="8"/>
      <c r="O654" s="8"/>
      <c r="P654" s="8"/>
      <c r="Q654" s="8"/>
      <c r="R654" s="8"/>
      <c r="S654" s="8"/>
      <c r="T654" s="8"/>
      <c r="U654" s="8"/>
      <c r="V654" s="8"/>
      <c r="W654" s="8"/>
      <c r="X654" s="8"/>
      <c r="Y654" s="8"/>
      <c r="Z654" s="8"/>
    </row>
    <row r="655" spans="2:26" ht="14.5" x14ac:dyDescent="0.35">
      <c r="B655" s="8"/>
      <c r="C655" s="8"/>
      <c r="D655" s="8"/>
      <c r="E655" s="8"/>
      <c r="F655" s="8"/>
      <c r="G655" s="8"/>
      <c r="H655" s="8"/>
      <c r="I655" s="8"/>
      <c r="J655" s="91"/>
      <c r="K655" s="8"/>
      <c r="L655" s="8"/>
      <c r="M655" s="8"/>
      <c r="N655" s="8"/>
      <c r="O655" s="8"/>
      <c r="P655" s="8"/>
      <c r="Q655" s="8"/>
      <c r="R655" s="8"/>
      <c r="S655" s="8"/>
      <c r="T655" s="8"/>
      <c r="U655" s="8"/>
      <c r="V655" s="8"/>
      <c r="W655" s="8"/>
      <c r="X655" s="8"/>
      <c r="Y655" s="8"/>
      <c r="Z655" s="8"/>
    </row>
    <row r="656" spans="2:26" ht="14.5" x14ac:dyDescent="0.35">
      <c r="B656" s="8"/>
      <c r="C656" s="8"/>
      <c r="D656" s="8"/>
      <c r="E656" s="8"/>
      <c r="F656" s="8"/>
      <c r="G656" s="8"/>
      <c r="H656" s="8"/>
      <c r="I656" s="8"/>
      <c r="J656" s="91"/>
      <c r="K656" s="8"/>
      <c r="L656" s="8"/>
      <c r="M656" s="8"/>
      <c r="N656" s="8"/>
      <c r="O656" s="8"/>
      <c r="P656" s="8"/>
      <c r="Q656" s="8"/>
      <c r="R656" s="8"/>
      <c r="S656" s="8"/>
      <c r="T656" s="8"/>
      <c r="U656" s="8"/>
      <c r="V656" s="8"/>
      <c r="W656" s="8"/>
      <c r="X656" s="8"/>
      <c r="Y656" s="8"/>
      <c r="Z656" s="8"/>
    </row>
    <row r="657" spans="2:26" ht="14.5" x14ac:dyDescent="0.35">
      <c r="B657" s="8"/>
      <c r="C657" s="8"/>
      <c r="D657" s="8"/>
      <c r="E657" s="8"/>
      <c r="F657" s="8"/>
      <c r="G657" s="8"/>
      <c r="H657" s="8"/>
      <c r="I657" s="8"/>
      <c r="J657" s="91"/>
      <c r="K657" s="8"/>
      <c r="L657" s="8"/>
      <c r="M657" s="8"/>
      <c r="N657" s="8"/>
      <c r="O657" s="8"/>
      <c r="P657" s="8"/>
      <c r="Q657" s="8"/>
      <c r="R657" s="8"/>
      <c r="S657" s="8"/>
      <c r="T657" s="8"/>
      <c r="U657" s="8"/>
      <c r="V657" s="8"/>
      <c r="W657" s="8"/>
      <c r="X657" s="8"/>
      <c r="Y657" s="8"/>
      <c r="Z657" s="8"/>
    </row>
    <row r="658" spans="2:26" ht="14.5" x14ac:dyDescent="0.35">
      <c r="B658" s="8"/>
      <c r="C658" s="8"/>
      <c r="D658" s="8"/>
      <c r="E658" s="8"/>
      <c r="F658" s="8"/>
      <c r="G658" s="8"/>
      <c r="H658" s="8"/>
      <c r="I658" s="8"/>
      <c r="J658" s="91"/>
      <c r="K658" s="8"/>
      <c r="L658" s="8"/>
      <c r="M658" s="8"/>
      <c r="N658" s="8"/>
      <c r="O658" s="8"/>
      <c r="P658" s="8"/>
      <c r="Q658" s="8"/>
      <c r="R658" s="8"/>
      <c r="S658" s="8"/>
      <c r="T658" s="8"/>
      <c r="U658" s="8"/>
      <c r="V658" s="8"/>
      <c r="W658" s="8"/>
      <c r="X658" s="8"/>
      <c r="Y658" s="8"/>
      <c r="Z658" s="8"/>
    </row>
    <row r="659" spans="2:26" ht="14.5" x14ac:dyDescent="0.35">
      <c r="B659" s="8"/>
      <c r="C659" s="8"/>
      <c r="D659" s="8"/>
      <c r="E659" s="8"/>
      <c r="F659" s="8"/>
      <c r="G659" s="8"/>
      <c r="H659" s="8"/>
      <c r="I659" s="8"/>
      <c r="K659" s="8"/>
      <c r="L659" s="8"/>
      <c r="M659" s="8"/>
      <c r="N659" s="8"/>
      <c r="O659" s="8"/>
      <c r="P659" s="8"/>
      <c r="Q659" s="8"/>
      <c r="R659" s="8"/>
      <c r="S659" s="8"/>
      <c r="T659" s="8"/>
      <c r="U659" s="8"/>
      <c r="V659" s="8"/>
      <c r="W659" s="8"/>
      <c r="X659" s="8"/>
      <c r="Y659" s="8"/>
      <c r="Z659" s="8"/>
    </row>
    <row r="660" spans="2:26" ht="14.5" x14ac:dyDescent="0.35">
      <c r="B660" s="8"/>
      <c r="C660" s="8"/>
      <c r="D660" s="8"/>
      <c r="E660" s="8"/>
      <c r="F660" s="8"/>
      <c r="G660" s="8"/>
      <c r="H660" s="8"/>
      <c r="I660" s="8"/>
      <c r="K660" s="8"/>
      <c r="L660" s="8"/>
      <c r="M660" s="8"/>
      <c r="N660" s="8"/>
      <c r="O660" s="8"/>
      <c r="P660" s="8"/>
      <c r="Q660" s="8"/>
      <c r="R660" s="8"/>
      <c r="S660" s="8"/>
      <c r="T660" s="8"/>
      <c r="U660" s="8"/>
      <c r="V660" s="8"/>
      <c r="W660" s="8"/>
      <c r="X660" s="8"/>
      <c r="Y660" s="8"/>
      <c r="Z660" s="8"/>
    </row>
    <row r="661" spans="2:26" ht="14.5" x14ac:dyDescent="0.35">
      <c r="B661" s="8"/>
      <c r="C661" s="8"/>
      <c r="D661" s="8"/>
      <c r="E661" s="8"/>
      <c r="F661" s="8"/>
      <c r="G661" s="8"/>
      <c r="H661" s="8"/>
      <c r="I661" s="8"/>
      <c r="N661" s="8"/>
      <c r="O661" s="8"/>
      <c r="P661" s="8"/>
      <c r="Q661" s="8"/>
      <c r="R661" s="8"/>
      <c r="S661" s="8"/>
      <c r="T661" s="8"/>
      <c r="U661" s="8"/>
      <c r="V661" s="8"/>
      <c r="W661" s="8"/>
      <c r="X661" s="8"/>
      <c r="Y661" s="8"/>
      <c r="Z661" s="8"/>
    </row>
    <row r="662" spans="2:26" ht="14.5" x14ac:dyDescent="0.35">
      <c r="B662" s="8"/>
      <c r="C662" s="8"/>
      <c r="D662" s="8"/>
      <c r="E662" s="8"/>
      <c r="F662" s="8"/>
      <c r="G662" s="8"/>
      <c r="H662" s="8"/>
      <c r="I662" s="8"/>
      <c r="N662" s="8"/>
      <c r="O662" s="8"/>
      <c r="P662" s="8"/>
      <c r="Q662" s="8"/>
      <c r="R662" s="8"/>
      <c r="S662" s="8"/>
      <c r="T662" s="8"/>
      <c r="U662" s="8"/>
      <c r="V662" s="8"/>
      <c r="W662" s="8"/>
      <c r="X662" s="8"/>
      <c r="Y662" s="8"/>
      <c r="Z662" s="8"/>
    </row>
    <row r="663" spans="2:26" ht="14.5" x14ac:dyDescent="0.35">
      <c r="B663" s="8"/>
      <c r="C663" s="8"/>
      <c r="D663" s="8"/>
      <c r="E663" s="8"/>
      <c r="F663" s="8"/>
      <c r="G663" s="8"/>
      <c r="H663" s="8"/>
      <c r="I663" s="8"/>
      <c r="N663" s="8"/>
      <c r="O663" s="8"/>
      <c r="P663" s="8"/>
      <c r="Q663" s="8"/>
      <c r="R663" s="8"/>
      <c r="S663" s="8"/>
      <c r="T663" s="8"/>
      <c r="U663" s="8"/>
      <c r="V663" s="8"/>
      <c r="W663" s="8"/>
      <c r="X663" s="8"/>
      <c r="Y663" s="8"/>
      <c r="Z663" s="8"/>
    </row>
    <row r="664" spans="2:26" ht="14.5" x14ac:dyDescent="0.35">
      <c r="B664" s="8"/>
      <c r="C664" s="8"/>
      <c r="D664" s="8"/>
      <c r="E664" s="8"/>
      <c r="F664" s="8"/>
      <c r="G664" s="8"/>
      <c r="H664" s="8"/>
      <c r="I664" s="8"/>
      <c r="N664" s="8"/>
      <c r="O664" s="8"/>
      <c r="P664" s="8"/>
      <c r="Q664" s="8"/>
      <c r="R664" s="8"/>
      <c r="S664" s="8"/>
      <c r="T664" s="8"/>
      <c r="U664" s="8"/>
      <c r="V664" s="8"/>
      <c r="W664" s="8"/>
      <c r="X664" s="8"/>
      <c r="Y664" s="8"/>
      <c r="Z664" s="8"/>
    </row>
    <row r="665" spans="2:26" ht="14.5" x14ac:dyDescent="0.35">
      <c r="B665" s="8"/>
      <c r="C665" s="8"/>
      <c r="D665" s="8"/>
      <c r="E665" s="8"/>
      <c r="F665" s="8"/>
      <c r="G665" s="8"/>
      <c r="H665" s="8"/>
      <c r="I665" s="8"/>
      <c r="N665" s="8"/>
      <c r="O665" s="8"/>
      <c r="P665" s="8"/>
      <c r="Q665" s="8"/>
      <c r="R665" s="8"/>
      <c r="S665" s="8"/>
      <c r="T665" s="8"/>
      <c r="U665" s="8"/>
      <c r="V665" s="8"/>
      <c r="W665" s="8"/>
      <c r="X665" s="8"/>
      <c r="Y665" s="8"/>
      <c r="Z665" s="8"/>
    </row>
    <row r="666" spans="2:26" ht="14.5" x14ac:dyDescent="0.35">
      <c r="B666" s="8"/>
      <c r="C666" s="8"/>
      <c r="D666" s="8"/>
      <c r="E666" s="8"/>
      <c r="F666" s="8"/>
      <c r="G666" s="8"/>
      <c r="H666" s="8"/>
      <c r="I666" s="8"/>
      <c r="N666" s="8"/>
      <c r="O666" s="8"/>
      <c r="P666" s="8"/>
      <c r="Q666" s="8"/>
      <c r="R666" s="8"/>
      <c r="S666" s="8"/>
      <c r="T666" s="8"/>
      <c r="U666" s="8"/>
      <c r="V666" s="8"/>
      <c r="W666" s="8"/>
      <c r="X666" s="8"/>
      <c r="Y666" s="8"/>
      <c r="Z666" s="8"/>
    </row>
    <row r="667" spans="2:26" ht="14.5" x14ac:dyDescent="0.35">
      <c r="B667" s="8"/>
      <c r="C667" s="8"/>
      <c r="D667" s="8"/>
      <c r="E667" s="8"/>
      <c r="F667" s="8"/>
      <c r="G667" s="8"/>
      <c r="H667" s="8"/>
      <c r="I667" s="8"/>
      <c r="N667" s="8"/>
      <c r="O667" s="8"/>
      <c r="P667" s="8"/>
      <c r="Q667" s="8"/>
      <c r="R667" s="8"/>
      <c r="S667" s="8"/>
      <c r="T667" s="8"/>
      <c r="U667" s="8"/>
      <c r="V667" s="8"/>
      <c r="W667" s="8"/>
      <c r="X667" s="8"/>
      <c r="Y667" s="8"/>
      <c r="Z667" s="8"/>
    </row>
    <row r="668" spans="2:26" ht="14.5" x14ac:dyDescent="0.35">
      <c r="B668" s="8"/>
      <c r="C668" s="8"/>
      <c r="D668" s="8"/>
      <c r="E668" s="8"/>
      <c r="F668" s="8"/>
      <c r="G668" s="8"/>
      <c r="H668" s="8"/>
      <c r="I668" s="8"/>
      <c r="N668" s="8"/>
      <c r="O668" s="8"/>
      <c r="P668" s="8"/>
      <c r="Q668" s="8"/>
      <c r="R668" s="8"/>
      <c r="S668" s="8"/>
      <c r="T668" s="8"/>
      <c r="U668" s="8"/>
      <c r="V668" s="8"/>
      <c r="W668" s="8"/>
      <c r="X668" s="8"/>
      <c r="Y668" s="8"/>
      <c r="Z668" s="8"/>
    </row>
    <row r="669" spans="2:26" ht="14.5" x14ac:dyDescent="0.35">
      <c r="B669" s="8"/>
      <c r="C669" s="8"/>
      <c r="D669" s="8"/>
      <c r="E669" s="8"/>
      <c r="F669" s="8"/>
      <c r="G669" s="8"/>
      <c r="H669" s="8"/>
      <c r="I669" s="8"/>
      <c r="N669" s="8"/>
      <c r="O669" s="8"/>
      <c r="P669" s="8"/>
      <c r="Q669" s="8"/>
      <c r="R669" s="8"/>
      <c r="S669" s="8"/>
      <c r="T669" s="8"/>
      <c r="U669" s="8"/>
      <c r="V669" s="8"/>
      <c r="W669" s="8"/>
      <c r="X669" s="8"/>
      <c r="Y669" s="8"/>
      <c r="Z669" s="8"/>
    </row>
  </sheetData>
  <sheetProtection algorithmName="SHA-512" hashValue="JsodloPAF2hlc5B3KFxLpjq0DJi70MhJtzBqGfN058GxqgTHL3/T9KxR8TXHLfigfz/+47+RnsSf7Z7ebysKIg==" saltValue="EkkE9nYaOGwIE8GXc/Qy1w==" spinCount="100000" sheet="1" objects="1" scenarios="1" sort="0" autoFilter="0" pivotTables="0"/>
  <mergeCells count="5">
    <mergeCell ref="B27:M27"/>
    <mergeCell ref="B26:N26"/>
    <mergeCell ref="B13:I16"/>
    <mergeCell ref="B17:I18"/>
    <mergeCell ref="B21:I22"/>
  </mergeCells>
  <pageMargins left="0.23622047244094491" right="0.23622047244094491" top="0.74803149606299213" bottom="0.55118110236220474" header="0.11811023622047245" footer="0"/>
  <pageSetup paperSize="9" orientation="portrait" r:id="rId1"/>
  <rowBreaks count="5" manualBreakCount="5">
    <brk id="41" max="16383" man="1"/>
    <brk id="83" max="16383" man="1"/>
    <brk id="214" max="16383" man="1"/>
    <brk id="270" max="16383" man="1"/>
    <brk id="299" max="16383" man="1"/>
  </rowBreaks>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BFA1-479C-4235-B11A-085EF81B641B}">
  <dimension ref="B1:AD13"/>
  <sheetViews>
    <sheetView showGridLines="0" showRowColHeaders="0" zoomScale="80" zoomScaleNormal="80" workbookViewId="0">
      <selection activeCell="C13" sqref="C13"/>
    </sheetView>
  </sheetViews>
  <sheetFormatPr defaultColWidth="19.453125" defaultRowHeight="14.5" x14ac:dyDescent="0.35"/>
  <cols>
    <col min="1" max="1" width="6.54296875" customWidth="1"/>
    <col min="2" max="2" width="34.81640625" customWidth="1"/>
  </cols>
  <sheetData>
    <row r="1" spans="2:30" ht="15.5" x14ac:dyDescent="0.35">
      <c r="B1" s="175" t="s">
        <v>158</v>
      </c>
    </row>
    <row r="2" spans="2:30" ht="18.75" customHeight="1" x14ac:dyDescent="0.35">
      <c r="B2" s="175" t="s">
        <v>152</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2:30" s="125" customFormat="1" ht="15" hidden="1" customHeight="1" x14ac:dyDescent="0.35">
      <c r="B3" s="147">
        <v>2021</v>
      </c>
      <c r="C3" s="164">
        <f>IFERROR(IF(GETPIVOTDATA("Mina lärare vet vad jag ska lära mig",'Pivot Index'!$A$113,"År",2021)&gt;6,(GETPIVOTDATA("Mina lärare vet vad jag ska lära mig",'Pivot Index'!$Q$113,"År",2021)),""),"")</f>
        <v>8.528139534883719</v>
      </c>
      <c r="D3" s="164">
        <f>IFERROR(IF(GETPIVOTDATA("När jag vill lära mig mer får jag nya uppgifter",'Pivot Index'!$A$125,"År",2021)&gt;6,(GETPIVOTDATA("När jag vill lära mig mer får jag nya uppgifter",'Pivot Index'!$Q$125,"År",2021)),""),"")</f>
        <v>8.161954022988505</v>
      </c>
      <c r="E3" s="164">
        <f>IFERROR(IF(GETPIVOTDATA("Jag känner att jag lyckas i skolan",'Pivot Index'!$A$137,"År",2021)&gt;6,(GETPIVOTDATA("Jag känner att jag lyckas i skolan",'Pivot Index'!$Q$137,"År",2021)),""),"")</f>
        <v>8.2207954545454527</v>
      </c>
      <c r="F3" s="164">
        <f>IFERROR(IF(GETPIVOTDATA("F7",'Pivot Index'!$A$17,"År",2021)&gt;6,(GETPIVOTDATA("F7",'Pivot Index'!$Q$17,"År",2021)),""),"")</f>
        <v>9.1672727272727279</v>
      </c>
      <c r="G3" s="164">
        <f>IFERROR(IF(GETPIVOTDATA("Jag får lära mig på olika sätt exempelvis läsa, lyssna, se film, skriva",'Pivot Index'!$A$149,"År",2021)&gt;6,(GETPIVOTDATA("Jag får lära mig på olika sätt exempelvis läsa, lyssna, se film, skriva",'Pivot Index'!$Q$149,"År",2021)),""),"")</f>
        <v>8.6753409090909077</v>
      </c>
      <c r="H3" s="164">
        <f>IFERROR(IF(GETPIVOTDATA("F9",'Pivot Index'!$A$29,"År",2021)&gt;6,(GETPIVOTDATA("F9",'Pivot Index'!$Q$29,"År",2021)),""),"")</f>
        <v>8.0428749999999987</v>
      </c>
      <c r="I3" s="164">
        <f>IFERROR(IF(GETPIVOTDATA("På lektionerna pratar vi om sådant som vi hört och läst",'Pivot Index'!$A$161,"År",2021)&gt;6,(GETPIVOTDATA("På lektionerna pratar vi om sådant som vi hört och läst",'Pivot Index'!$Q$161,"År",2021)),""),"")</f>
        <v>8.3714444444444425</v>
      </c>
      <c r="J3" s="164">
        <f>IFERROR(IF(GETPIVOTDATA("I skolan pratar vi om att alla är lika mycket värda ",'Pivot Index'!$A$173,"År",2021)&gt;6,(GETPIVOTDATA("I skolan pratar vi om att alla är lika mycket värda ",'Pivot Index'!$Q$173,"År",2021)),""),"")</f>
        <v>8.7849411764705891</v>
      </c>
      <c r="K3" s="164">
        <f>IFERROR(IF(GETPIVOTDATA("Vi brukar prata om hur vi ska bemöta varandra",'Pivot Index'!$A$185,"År",2021)&gt;6,(GETPIVOTDATA("Vi brukar prata om hur vi ska bemöta varandra",'Pivot Index'!$Q$185,"År",2021)),""),"")</f>
        <v>8.6371590909090905</v>
      </c>
      <c r="L3" s="164">
        <f>IFERROR(IF(GETPIVOTDATA("Ingen i skolan gör skillnad på tjejer eller killar",'Pivot Index'!$A$197,"År",2021)&gt;6,(GETPIVOTDATA("Ingen i skolan gör skillnad på tjejer eller killar",'Pivot Index'!$Q$197,"År",2021)),""),"")</f>
        <v>8.9307407407407418</v>
      </c>
      <c r="M3" s="164">
        <f>IFERROR(IF(GETPIVOTDATA("I min skola är vi snälla och lyssnar på varandra",'Pivot Index'!$A$209,"År",2021)&gt;6,(GETPIVOTDATA("I min skola är vi snälla och lyssnar på varandra",'Pivot Index'!$Q$209,"År",2021)),""),"")</f>
        <v>8.2031460674157302</v>
      </c>
      <c r="N3" s="164">
        <f>IFERROR(IF(GETPIVOTDATA("Jag får vara med och välja vad vi ska göra på lektionerna2",'Pivot Index'!$A$221,"År",2021)&gt;6,(GETPIVOTDATA("Jag får vara med och välja vad vi ska göra på lektionerna2",'Pivot Index'!$Q$221,"År",2021)),""),"")</f>
        <v>7.5010714285714259</v>
      </c>
      <c r="O3" s="164">
        <f>IFERROR(IF(GETPIVOTDATA("I min skola är eleverna med och bestämmer trivselregler",'Pivot Index'!$A$233,"År",2021)&gt;6,(GETPIVOTDATA("I min skola är eleverna med och bestämmer trivselregler",'Pivot Index'!$Q$233,"År",2021)),""),"")</f>
        <v>8.1581176470588215</v>
      </c>
      <c r="P3" s="164">
        <f>IFERROR(IF(GETPIVOTDATA("Mina lärare säger ifrån om någon behandlas illa eller blir kränkt2",'Pivot Index'!$A$245,"År",2021)&gt;6,(GETPIVOTDATA("Mina lärare säger ifrån om någon behandlas illa eller blir kränkt2",'Pivot Index'!$Q$245,"År",2021)),""),"")</f>
        <v>8.7359770114942528</v>
      </c>
      <c r="Q3" s="164">
        <f>IFERROR(IF(GETPIVOTDATA("Det är lugnt i klassrummet ",'Pivot Index'!$A$257,"År",2021)&gt;6,(GETPIVOTDATA("Det är lugnt i klassrummet ",'Pivot Index'!$Q$257,"År",2021)),""),"")</f>
        <v>6.8946590909090881</v>
      </c>
      <c r="R3" s="164">
        <f>IFERROR(IF(GETPIVOTDATA("F22",'Pivot Index'!$A$41,"År",2021)&gt;6,(GETPIVOTDATA("F22",'Pivot Index'!$Q$41,"År",2021)),""),"")</f>
        <v>8.257386363636364</v>
      </c>
      <c r="S3" s="164">
        <f>IFERROR(IF(GETPIVOTDATA("F23",'Pivot Index'!$A$53,"År",2021)&gt;6,(GETPIVOTDATA("F23",'Pivot Index'!$Q$53,"År",2021)),""),"")</f>
        <v>8.735517241379311</v>
      </c>
      <c r="T3" s="164" t="str">
        <f>IFERROR(IF(GETPIVOTDATA("F24",'Pivot Index'!$A$65,"År",2021)&gt;6,(GETPIVOTDATA("F23",'Pivot Index'!$Q$65,"År",2021)),""),"")</f>
        <v/>
      </c>
      <c r="U3" s="164">
        <f>IFERROR(IF(GETPIVOTDATA("Jag vet vem på skolan jag kan prata med om någon varit elak ",'Pivot Index'!$A$269,"År",2021)&gt;6,(GETPIVOTDATA("Jag vet vem på skolan jag kan prata med om någon varit elak ",'Pivot Index'!$Q$269,"År",2021)),""),"")</f>
        <v>8.9589999999999996</v>
      </c>
      <c r="V3" s="164">
        <f>IFERROR(IF(GETPIVOTDATA("F27",'Pivot Index'!$A$77,"År",2021)&gt;6,(GETPIVOTDATA("F27",'Pivot Index'!$Q$77,"År",2021)),""),"")</f>
        <v>9.091477272727273</v>
      </c>
      <c r="W3" s="164">
        <f>IFERROR(IF(GETPIVOTDATA("Maten på min skola är bra, sett till näringsinnehåll, utseende, smak och klimat- och miljöperspektiv",'Pivot Index'!$A$280,"År",2021)&gt;6,(GETPIVOTDATA("Maten på min skola är bra, sett till näringsinnehåll, utseende, smak och klimat- och miljöperspektiv",'Pivot Index'!$Q$280,"År",2021)),""),"")</f>
        <v>7.0601176470588207</v>
      </c>
      <c r="X3" s="164">
        <f>IFERROR(IF(GETPIVOTDATA("Jag väljer att äta mig mätt i skolan",'Pivot Index'!$A$292,"År",2021)&gt;6,(GETPIVOTDATA("Jag väljer att äta mig mätt i skolan",'Pivot Index'!$Q$292,"År",2021)),""),"")</f>
        <v>7.883058823529411</v>
      </c>
      <c r="Y3" s="164">
        <f>IFERROR(IF(GETPIVOTDATA("Skolrestaurangen har en miljö som är trivsam att vara i ",'Pivot Index'!$A$304,"År",2021)&gt;6,(GETPIVOTDATA("Skolrestaurangen har en miljö som är trivsam att vara i ",'Pivot Index'!$Q$304,"År",2021)),""),"")</f>
        <v>8.101627906976745</v>
      </c>
      <c r="Z3" s="164">
        <f>IFERROR(IF(GETPIVOTDATA("De som jobbar i skolrestaurangen är trevliga och serviceinriktade",'Pivot Index'!$A$316,"År",2021)&gt;6,(GETPIVOTDATA("De som jobbar i skolrestaurangen är trevliga och serviceinriktade",'Pivot Index'!$Q$316,"År",2021)),""),"")</f>
        <v>8.75075</v>
      </c>
      <c r="AA3" s="164">
        <f>IFERROR(IF(GETPIVOTDATA("Toaletterna är rena och fina",'Pivot Index'!$A$328,"År",2021)&gt;6,(GETPIVOTDATA("Toaletterna är rena och fina",'Pivot Index'!$Q$328,"År",2021)),""),"")</f>
        <v>6.1240217391304332</v>
      </c>
      <c r="AB3" s="164">
        <f>IFERROR(IF(GETPIVOTDATA("Jag får veta vad man kan göra efter studenten ",'Pivot Index'!$A$340,"År",2021)&gt;6,(GETPIVOTDATA("Jag får veta vad man kan göra efter studenten ",'Pivot Index'!$Q$340,"År",2021)),""),"")</f>
        <v>7.7307246376811571</v>
      </c>
      <c r="AC3" s="164">
        <f>IFERROR(IF(GETPIVOTDATA("F34",'Pivot Index'!$A$89,"År",2021)&gt;6,(GETPIVOTDATA("F34",'Pivot Index'!$Q$89,"År",2021)),""),"")</f>
        <v>8.4256043956043953</v>
      </c>
      <c r="AD3" s="164">
        <f>IFERROR(IF(GETPIVOTDATA("F35",'Pivot Index'!$A$101,"År",2021)&gt;6,(GETPIVOTDATA("F35",'Pivot Index'!$Q$101,"År",2021)),""),"")</f>
        <v>7.9371428571428577</v>
      </c>
    </row>
    <row r="4" spans="2:30" s="125" customFormat="1" ht="15" hidden="1" customHeight="1" x14ac:dyDescent="0.35">
      <c r="B4" s="147">
        <v>2022</v>
      </c>
      <c r="C4" s="164">
        <f>IFERROR(IF(GETPIVOTDATA("Mina lärare vet vad jag ska lära mig",'Pivot Index'!$A$113,"År",2023)&gt;6,(GETPIVOTDATA("Mina lärare vet vad jag ska lära mig",'Pivot Index'!$Q$113,"År",2023)),""),"")</f>
        <v>8.8242352941176456</v>
      </c>
      <c r="D4" s="164">
        <f>IFERROR(IF(GETPIVOTDATA("När jag vill lära mig mer får jag nya uppgifter",'Pivot Index'!$A$125,"År",2023)&gt;6,(GETPIVOTDATA("När jag vill lära mig mer får jag nya uppgifter",'Pivot Index'!$Q$125,"År",2023)),""),"")</f>
        <v>8.6443023255813944</v>
      </c>
      <c r="E4" s="164">
        <f>IFERROR(IF(GETPIVOTDATA("Jag känner att jag lyckas i skolan",'Pivot Index'!$A$137,"År",2023)&gt;6,(GETPIVOTDATA("Jag känner att jag lyckas i skolan",'Pivot Index'!$Q$137,"År",2023)),""),"")</f>
        <v>8.4712941176470586</v>
      </c>
      <c r="F4" s="164">
        <f>IFERROR(IF(GETPIVOTDATA("F7",'Pivot Index'!$A$17,"År",2023)&gt;6,(GETPIVOTDATA("F7",'Pivot Index'!$Q$17,"År",2023)),""),"")</f>
        <v>8.889540229885057</v>
      </c>
      <c r="G4" s="164">
        <f>IFERROR(IF(GETPIVOTDATA("Jag får lära mig på olika sätt exempelvis läsa, lyssna, se film, skriva",'Pivot Index'!$A$149,"År",2023)&gt;6,(GETPIVOTDATA("Jag får lära mig på olika sätt exempelvis läsa, lyssna, se film, skriva",'Pivot Index'!$Q$149,"År",2023)),""),"")</f>
        <v>8.8767441860465119</v>
      </c>
      <c r="H4" s="164">
        <f>IFERROR(IF(GETPIVOTDATA("F9",'Pivot Index'!$A$29,"År",2023)&gt;6,(GETPIVOTDATA("F9",'Pivot Index'!$Q$29,"År",2023)),""),"")</f>
        <v>8.4243243243243242</v>
      </c>
      <c r="I4" s="164">
        <f>IFERROR(IF(GETPIVOTDATA("På lektionerna pratar vi om sådant som vi hört och läst",'Pivot Index'!$A$161,"År",2023)&gt;6,(GETPIVOTDATA("På lektionerna pratar vi om sådant som vi hört och läst",'Pivot Index'!$Q$161,"År",2023)),""),"")</f>
        <v>8.8242352941176456</v>
      </c>
      <c r="J4" s="164">
        <f>IFERROR(IF(GETPIVOTDATA("I skolan pratar vi om att alla är lika mycket värda ",'Pivot Index'!$A$173,"År",2023)&gt;6,(GETPIVOTDATA("I skolan pratar vi om att alla är lika mycket värda ",'Pivot Index'!$Q$173,"År",2023)),""),"")</f>
        <v>8.6443023255813944</v>
      </c>
      <c r="K4" s="164">
        <f>IFERROR(IF(GETPIVOTDATA("Vi brukar prata om hur vi ska bemöta varandra",'Pivot Index'!$A$185,"År",2023)&gt;6,(GETPIVOTDATA("Vi brukar prata om hur vi ska bemöta varandra",'Pivot Index'!$Q$185,"År",2023)),""),"")</f>
        <v>8.4830588235294115</v>
      </c>
      <c r="L4" s="164">
        <f>IFERROR(IF(GETPIVOTDATA("Ingen i skolan gör skillnad på tjejer eller killar",'Pivot Index'!$A$197,"År",2023)&gt;6,(GETPIVOTDATA("Ingen i skolan gör skillnad på tjejer eller killar",'Pivot Index'!$Q$197,"År",2023)),""),"")</f>
        <v>8.8883720930232553</v>
      </c>
      <c r="M4" s="164">
        <f>IFERROR(IF(GETPIVOTDATA("I min skola är vi snälla och lyssnar på varandra",'Pivot Index'!$A$209,"År",2023)&gt;6,(GETPIVOTDATA("I min skola är vi snälla och lyssnar på varandra",'Pivot Index'!$Q$209,"År",2023)),""),"")</f>
        <v>8.519135802469135</v>
      </c>
      <c r="N4" s="164">
        <f>IFERROR(IF(GETPIVOTDATA("Jag får vara med och välja vad vi ska göra på lektionerna2",'Pivot Index'!$A$221,"År",2023)&gt;6,(GETPIVOTDATA("Jag får vara med och välja vad vi ska göra på lektionerna2",'Pivot Index'!$Q$221,"År",2023)),""),"")</f>
        <v>9.0536363636363646</v>
      </c>
      <c r="O4" s="164">
        <f>IFERROR(IF(GETPIVOTDATA("I min skola är eleverna med och bestämmer trivselregler",'Pivot Index'!$A$233,"År",2023)&gt;6,(GETPIVOTDATA("I min skola är eleverna med och bestämmer trivselregler",'Pivot Index'!$Q$233,"År",2023)),""),"")</f>
        <v>9.2947058823529414</v>
      </c>
      <c r="P4" s="164">
        <f>IFERROR(IF(GETPIVOTDATA("Mina lärare säger ifrån om någon behandlas illa eller blir kränkt2",'Pivot Index'!$A$245,"År",2023)&gt;6,(GETPIVOTDATA("Mina lärare säger ifrån om någon behandlas illa eller blir kränkt2",'Pivot Index'!$Q$245,"År",2023)),""),"")</f>
        <v>9.3080519480519488</v>
      </c>
      <c r="Q4" s="164">
        <f>IFERROR(IF(GETPIVOTDATA("Det är lugnt i klassrummet ",'Pivot Index'!$A$257,"År",2023)&gt;6,(GETPIVOTDATA("Det är lugnt i klassrummet ",'Pivot Index'!$Q$257,"År",2023)),""),"")</f>
        <v>8.3188372093023233</v>
      </c>
      <c r="R4" s="164">
        <f>IFERROR(IF(GETPIVOTDATA("F22",'Pivot Index'!$A$41,"År",2023)&gt;6,(GETPIVOTDATA("F22",'Pivot Index'!$Q$41,"År",2023)),""),"")</f>
        <v>8.4289655172413784</v>
      </c>
      <c r="S4" s="164">
        <f>IFERROR(IF(GETPIVOTDATA("F23",'Pivot Index'!$A$53,"År",2023)&gt;6,(GETPIVOTDATA("F23",'Pivot Index'!$Q$53,"År",2023)),""),"")</f>
        <v>9.0997701149425296</v>
      </c>
      <c r="T4" s="164" t="str">
        <f>IFERROR(IF(GETPIVOTDATA("F24",'Pivot Index'!$A$65,"År",2023)&gt;6,(GETPIVOTDATA("F23",'Pivot Index'!$Q$65,"År",2023)),""),"")</f>
        <v/>
      </c>
      <c r="U4" s="164">
        <f>IFERROR(IF(GETPIVOTDATA("Jag vet vem på skolan jag kan prata med om någon varit elak ",'Pivot Index'!$A$269,"År",2023)&gt;6,(GETPIVOTDATA("Jag vet vem på skolan jag kan prata med om någon varit elak ",'Pivot Index'!$Q$269,"År",2023)),""),"")</f>
        <v>7.8050588235294125</v>
      </c>
      <c r="V4" s="164">
        <f>IFERROR(IF(GETPIVOTDATA("F27",'Pivot Index'!$A$77,"År",2023)&gt;6,(GETPIVOTDATA("F27",'Pivot Index'!$Q$77,"År",2023)),""),"")</f>
        <v>9.0250617283950607</v>
      </c>
      <c r="W4" s="164">
        <f>IFERROR(IF(GETPIVOTDATA("Maten på min skola är bra, sett till näringsinnehåll, utseende, smak och klimat- och miljöperspektiv",'Pivot Index'!$A$280,"År",2023)&gt;6,(GETPIVOTDATA("Maten på min skola är bra, sett till näringsinnehåll, utseende, smak och klimat- och miljöperspektiv",'Pivot Index'!$Q$280,"År",2023)),""),"")</f>
        <v>8.2475342465753414</v>
      </c>
      <c r="X4" s="164">
        <f>IFERROR(IF(GETPIVOTDATA("Jag väljer att äta mig mätt i skolan",'Pivot Index'!$A$292,"År",2023)&gt;6,(GETPIVOTDATA("Jag väljer att äta mig mätt i skolan",'Pivot Index'!$Q$292,"År",2023)),""),"")</f>
        <v>9.2159999999999993</v>
      </c>
      <c r="Y4" s="164">
        <f>IFERROR(IF(GETPIVOTDATA("Skolrestaurangen har en miljö som är trivsam att vara i ",'Pivot Index'!$A$304,"År",2023)&gt;6,(GETPIVOTDATA("Skolrestaurangen har en miljö som är trivsam att vara i ",'Pivot Index'!$Q$304,"År",2023)),""),"")</f>
        <v>7.7253488372093013</v>
      </c>
      <c r="Z4" s="164">
        <f>IFERROR(IF(GETPIVOTDATA("De som jobbar i skolrestaurangen är trevliga och serviceinriktade",'Pivot Index'!$A$316,"År",2023)&gt;6,(GETPIVOTDATA("De som jobbar i skolrestaurangen är trevliga och serviceinriktade",'Pivot Index'!$Q$316,"År",2023)),""),"")</f>
        <v>8.9563855421686753</v>
      </c>
      <c r="AA4" s="164">
        <f>IFERROR(IF(GETPIVOTDATA("Toaletterna är rena och fina",'Pivot Index'!$A$328,"År",2023)&gt;6,(GETPIVOTDATA("Toaletterna är rena och fina",'Pivot Index'!$Q$328,"År",2023)),""),"")</f>
        <v>7.1192105263157872</v>
      </c>
      <c r="AB4" s="164">
        <f>IFERROR(IF(GETPIVOTDATA("Jag får veta vad man kan göra efter studenten ",'Pivot Index'!$A$340,"År",2023)&gt;6,(GETPIVOTDATA("Jag får veta vad man kan göra efter studenten ",'Pivot Index'!$Q$340,"År",2023)),""),"")</f>
        <v>7.9769047619047608</v>
      </c>
      <c r="AC4" s="164">
        <f>IFERROR(IF(GETPIVOTDATA("F34",'Pivot Index'!$A$89,"År",2023)&gt;6,(GETPIVOTDATA("F34",'Pivot Index'!$Q$89,"År",2023)),""),"")</f>
        <v>8.4867469879518076</v>
      </c>
      <c r="AD4" s="164">
        <f>IFERROR(IF(GETPIVOTDATA("F35",'Pivot Index'!$A$101,"År",2023)&gt;6,(GETPIVOTDATA("F35",'Pivot Index'!$Q$101,"År",2023)),""),"")</f>
        <v>7.8486075949367082</v>
      </c>
    </row>
    <row r="5" spans="2:30" s="12" customFormat="1" hidden="1" x14ac:dyDescent="0.35"/>
    <row r="6" spans="2:30" ht="83.5" customHeight="1" x14ac:dyDescent="0.5">
      <c r="B6" s="119" t="s">
        <v>156</v>
      </c>
      <c r="C6" s="115" t="s">
        <v>55</v>
      </c>
      <c r="D6" s="115" t="s">
        <v>56</v>
      </c>
      <c r="E6" s="115" t="s">
        <v>66</v>
      </c>
      <c r="F6" s="115" t="s">
        <v>24</v>
      </c>
      <c r="G6" s="115" t="s">
        <v>57</v>
      </c>
      <c r="H6" s="115" t="s">
        <v>25</v>
      </c>
      <c r="I6" s="115" t="s">
        <v>64</v>
      </c>
      <c r="J6" s="115" t="s">
        <v>65</v>
      </c>
      <c r="K6" s="115" t="s">
        <v>58</v>
      </c>
      <c r="L6" s="115" t="s">
        <v>59</v>
      </c>
      <c r="M6" s="115" t="s">
        <v>67</v>
      </c>
      <c r="N6" s="115" t="s">
        <v>63</v>
      </c>
      <c r="O6" s="115" t="s">
        <v>68</v>
      </c>
      <c r="P6" s="115" t="s">
        <v>69</v>
      </c>
      <c r="Q6" s="115" t="s">
        <v>70</v>
      </c>
      <c r="R6" s="115" t="s">
        <v>137</v>
      </c>
      <c r="S6" s="115" t="s">
        <v>138</v>
      </c>
      <c r="T6" s="115" t="s">
        <v>3</v>
      </c>
      <c r="U6" s="115" t="s">
        <v>71</v>
      </c>
      <c r="V6" s="115" t="s">
        <v>28</v>
      </c>
      <c r="W6" s="115" t="s">
        <v>72</v>
      </c>
      <c r="X6" s="115" t="s">
        <v>62</v>
      </c>
      <c r="Y6" s="115" t="s">
        <v>118</v>
      </c>
      <c r="Z6" s="115" t="s">
        <v>75</v>
      </c>
      <c r="AA6" s="115" t="s">
        <v>60</v>
      </c>
      <c r="AB6" s="115" t="s">
        <v>119</v>
      </c>
      <c r="AC6" s="115" t="s">
        <v>29</v>
      </c>
      <c r="AD6" s="115" t="s">
        <v>44</v>
      </c>
    </row>
    <row r="7" spans="2:30" ht="27.65" customHeight="1" x14ac:dyDescent="0.35">
      <c r="B7" s="116" t="s">
        <v>6</v>
      </c>
      <c r="C7" s="118">
        <v>8.8242352941176456</v>
      </c>
      <c r="D7" s="118">
        <v>8.6443023255813944</v>
      </c>
      <c r="E7" s="118">
        <v>8.4712941176470586</v>
      </c>
      <c r="F7" s="118">
        <v>8.889540229885057</v>
      </c>
      <c r="G7" s="118">
        <v>8.8767441860465119</v>
      </c>
      <c r="H7" s="118">
        <v>8.2439189189189186</v>
      </c>
      <c r="I7" s="118">
        <v>8.8242352941176456</v>
      </c>
      <c r="J7" s="118">
        <v>8.6443023255813944</v>
      </c>
      <c r="K7" s="118">
        <v>8.4830588235294115</v>
      </c>
      <c r="L7" s="118">
        <v>8.8883720930232553</v>
      </c>
      <c r="M7" s="118">
        <v>8.519135802469135</v>
      </c>
      <c r="N7" s="118">
        <v>9.0536363636363646</v>
      </c>
      <c r="O7" s="118">
        <v>9.2947058823529414</v>
      </c>
      <c r="P7" s="118">
        <v>9.3080519480519488</v>
      </c>
      <c r="Q7" s="118">
        <v>8.3188372093023233</v>
      </c>
      <c r="R7" s="118">
        <v>8.4289655172413784</v>
      </c>
      <c r="S7" s="118">
        <v>9.0997701149425296</v>
      </c>
      <c r="T7" s="118">
        <v>8.5833333333333339</v>
      </c>
      <c r="U7" s="118">
        <v>7.6871764705882377</v>
      </c>
      <c r="V7" s="118">
        <v>9.0250617283950607</v>
      </c>
      <c r="W7" s="118">
        <v>8.2475342465753414</v>
      </c>
      <c r="X7" s="118">
        <v>9.2159999999999993</v>
      </c>
      <c r="Y7" s="118">
        <v>7.7253488372093013</v>
      </c>
      <c r="Z7" s="118">
        <v>8.9563855421686753</v>
      </c>
      <c r="AA7" s="118">
        <v>7.1192105263157872</v>
      </c>
      <c r="AB7" s="118">
        <v>7.9769047619047608</v>
      </c>
      <c r="AC7" s="118">
        <v>8.4867469879518076</v>
      </c>
      <c r="AD7" s="118">
        <v>7.8486075949367082</v>
      </c>
    </row>
    <row r="8" spans="2:30" ht="27.65" customHeight="1" x14ac:dyDescent="0.35">
      <c r="B8" s="116" t="s">
        <v>18</v>
      </c>
      <c r="C8" s="118">
        <v>7.8585714285714294</v>
      </c>
      <c r="D8" s="118">
        <v>7.1815384615384623</v>
      </c>
      <c r="E8" s="118">
        <v>7.6207142857142864</v>
      </c>
      <c r="F8" s="118">
        <v>7.1450000000000014</v>
      </c>
      <c r="G8" s="118">
        <v>7.8585714285714294</v>
      </c>
      <c r="H8" s="118">
        <v>6.4115384615384619</v>
      </c>
      <c r="I8" s="118">
        <v>7.8585714285714294</v>
      </c>
      <c r="J8" s="117">
        <v>7.1815384615384623</v>
      </c>
      <c r="K8" s="117">
        <v>7.6207142857142864</v>
      </c>
      <c r="L8" s="117">
        <v>7.8585714285714294</v>
      </c>
      <c r="M8" s="117">
        <v>6.9458333333333337</v>
      </c>
      <c r="N8" s="117">
        <v>7.859285714285714</v>
      </c>
      <c r="O8" s="117">
        <v>7.859285714285714</v>
      </c>
      <c r="P8" s="117">
        <v>8.1836363636363654</v>
      </c>
      <c r="Q8" s="117">
        <v>7.3835714285714289</v>
      </c>
      <c r="R8" s="118">
        <v>8.5714285714285712</v>
      </c>
      <c r="S8" s="118">
        <v>8.81</v>
      </c>
      <c r="T8" s="118">
        <v>7.1815384615384623</v>
      </c>
      <c r="U8" s="118">
        <v>5.4771428571428578</v>
      </c>
      <c r="V8" s="118">
        <v>8.0964285714285715</v>
      </c>
      <c r="W8" s="118">
        <v>6.9466666666666681</v>
      </c>
      <c r="X8" s="118">
        <v>7.382142857142858</v>
      </c>
      <c r="Y8" s="118">
        <v>5.8976923076923091</v>
      </c>
      <c r="Z8" s="118">
        <v>7.9500000000000011</v>
      </c>
      <c r="AA8" s="118">
        <v>5.3625000000000007</v>
      </c>
      <c r="AB8" s="118">
        <v>6.6678571428571436</v>
      </c>
      <c r="AC8" s="118">
        <v>7.0023076923076921</v>
      </c>
      <c r="AD8" s="118">
        <v>5.6423076923076927</v>
      </c>
    </row>
    <row r="9" spans="2:30" ht="32.15" customHeight="1" x14ac:dyDescent="0.35">
      <c r="B9" s="116" t="s">
        <v>141</v>
      </c>
      <c r="C9" s="118">
        <v>9.6300000000000008</v>
      </c>
      <c r="D9" s="118">
        <v>9.4450000000000003</v>
      </c>
      <c r="E9" s="118">
        <v>9.4123529411764704</v>
      </c>
      <c r="F9" s="118">
        <v>9.6300000000000008</v>
      </c>
      <c r="G9" s="118">
        <v>9.8150000000000013</v>
      </c>
      <c r="H9" s="118">
        <v>9.791875000000001</v>
      </c>
      <c r="I9" s="118">
        <v>9.6300000000000008</v>
      </c>
      <c r="J9" s="173">
        <v>9.4450000000000003</v>
      </c>
      <c r="K9" s="173">
        <v>9.4123529411764704</v>
      </c>
      <c r="L9" s="173">
        <v>9.8150000000000013</v>
      </c>
      <c r="M9" s="173">
        <v>8.8247058823529425</v>
      </c>
      <c r="N9" s="173">
        <v>9.8150000000000013</v>
      </c>
      <c r="O9" s="173">
        <v>10</v>
      </c>
      <c r="P9" s="173">
        <v>9.6300000000000008</v>
      </c>
      <c r="Q9" s="173">
        <v>9.0749999999999993</v>
      </c>
      <c r="R9" s="118">
        <v>9.2588888888888885</v>
      </c>
      <c r="S9" s="118">
        <v>10</v>
      </c>
      <c r="T9" s="118">
        <v>9.6300000000000008</v>
      </c>
      <c r="U9" s="118">
        <v>7.7788888888888899</v>
      </c>
      <c r="V9" s="118">
        <v>9.804117647058824</v>
      </c>
      <c r="W9" s="118">
        <v>8.4057142857142857</v>
      </c>
      <c r="X9" s="118">
        <v>9.8150000000000013</v>
      </c>
      <c r="Y9" s="118">
        <v>7.2227777777777771</v>
      </c>
      <c r="Z9" s="118">
        <v>9.6300000000000008</v>
      </c>
      <c r="AA9" s="118">
        <v>7.2552941176470593</v>
      </c>
      <c r="AB9" s="118">
        <v>7.2227777777777771</v>
      </c>
      <c r="AC9" s="118">
        <v>9.4123529411764704</v>
      </c>
      <c r="AD9" s="118">
        <v>8.4311764705882339</v>
      </c>
    </row>
    <row r="10" spans="2:30" ht="27.65" customHeight="1" x14ac:dyDescent="0.35">
      <c r="B10" s="116" t="s">
        <v>43</v>
      </c>
      <c r="C10" s="118">
        <v>7.4088888888888897</v>
      </c>
      <c r="D10" s="118">
        <v>6.668000000000001</v>
      </c>
      <c r="E10" s="118">
        <v>6.666666666666667</v>
      </c>
      <c r="F10" s="118">
        <v>8.6669999999999998</v>
      </c>
      <c r="G10" s="118">
        <v>8.668000000000001</v>
      </c>
      <c r="H10" s="118">
        <v>7.7788888888888881</v>
      </c>
      <c r="I10" s="118">
        <v>7.4088888888888897</v>
      </c>
      <c r="J10" s="118">
        <v>6.668000000000001</v>
      </c>
      <c r="K10" s="118">
        <v>6.666666666666667</v>
      </c>
      <c r="L10" s="118">
        <v>8.668000000000001</v>
      </c>
      <c r="M10" s="118">
        <v>7.0366666666666662</v>
      </c>
      <c r="N10" s="118">
        <v>8.6669999999999998</v>
      </c>
      <c r="O10" s="118">
        <v>8.8899999999999988</v>
      </c>
      <c r="P10" s="118">
        <v>7.7800000000000011</v>
      </c>
      <c r="Q10" s="118">
        <v>6.2977777777777781</v>
      </c>
      <c r="R10" s="118">
        <v>6.8330000000000002</v>
      </c>
      <c r="S10" s="118">
        <v>8.8888888888888893</v>
      </c>
      <c r="T10" s="118">
        <v>7.5009999999999994</v>
      </c>
      <c r="U10" s="118">
        <v>6.335</v>
      </c>
      <c r="V10" s="118">
        <v>8.5188888888888883</v>
      </c>
      <c r="W10" s="118">
        <v>6.6687500000000011</v>
      </c>
      <c r="X10" s="118">
        <v>8.5188888888888883</v>
      </c>
      <c r="Y10" s="118">
        <v>7.0377777777777784</v>
      </c>
      <c r="Z10" s="118">
        <v>9.26</v>
      </c>
      <c r="AA10" s="118">
        <v>7.3350000000000009</v>
      </c>
      <c r="AB10" s="118">
        <v>7.7788888888888899</v>
      </c>
      <c r="AC10" s="118">
        <v>7.3340000000000005</v>
      </c>
      <c r="AD10" s="118">
        <v>7.4088888888888897</v>
      </c>
    </row>
    <row r="11" spans="2:30" ht="27.65" customHeight="1" x14ac:dyDescent="0.35">
      <c r="B11" s="116" t="s">
        <v>142</v>
      </c>
      <c r="C11" s="118">
        <v>9.0004999999999988</v>
      </c>
      <c r="D11" s="118">
        <v>9.1063414634146351</v>
      </c>
      <c r="E11" s="118">
        <v>8.6997560975609751</v>
      </c>
      <c r="F11" s="118">
        <v>9.106097560975611</v>
      </c>
      <c r="G11" s="118">
        <v>8.75075</v>
      </c>
      <c r="H11" s="118">
        <v>8.4381249999999994</v>
      </c>
      <c r="I11" s="118">
        <v>9.0004999999999988</v>
      </c>
      <c r="J11" s="118">
        <v>9.1063414634146351</v>
      </c>
      <c r="K11" s="118">
        <v>8.7241463414634151</v>
      </c>
      <c r="L11" s="118">
        <v>8.7757499999999986</v>
      </c>
      <c r="M11" s="118">
        <v>9.0602564102564109</v>
      </c>
      <c r="N11" s="118">
        <v>9.1273809523809533</v>
      </c>
      <c r="O11" s="118">
        <v>9.5124390243902432</v>
      </c>
      <c r="P11" s="118">
        <v>9.8097142857142874</v>
      </c>
      <c r="Q11" s="118">
        <v>8.5858536585365854</v>
      </c>
      <c r="R11" s="118">
        <v>8.2519512195121951</v>
      </c>
      <c r="S11" s="118">
        <v>8.7700000000000014</v>
      </c>
      <c r="T11" s="118">
        <v>8.6914285714285722</v>
      </c>
      <c r="U11" s="118">
        <v>8.5476923076923068</v>
      </c>
      <c r="V11" s="118">
        <v>9.0362162162162178</v>
      </c>
      <c r="W11" s="118">
        <v>8.7908571428571438</v>
      </c>
      <c r="X11" s="118">
        <v>9.6667500000000004</v>
      </c>
      <c r="Y11" s="118">
        <v>8.5957142857142852</v>
      </c>
      <c r="Z11" s="118">
        <v>8.8038461538461537</v>
      </c>
      <c r="AA11" s="118">
        <v>7.6772727272727277</v>
      </c>
      <c r="AB11" s="118">
        <v>8.6330769230769224</v>
      </c>
      <c r="AC11" s="118">
        <v>8.718461538461538</v>
      </c>
      <c r="AD11" s="118">
        <v>8.2411111111111115</v>
      </c>
    </row>
    <row r="12" spans="2:30" ht="27.65" customHeight="1" x14ac:dyDescent="0.35">
      <c r="B12" s="116" t="s">
        <v>20</v>
      </c>
      <c r="C12" s="174" t="s">
        <v>128</v>
      </c>
      <c r="D12" s="174" t="s">
        <v>128</v>
      </c>
      <c r="E12" s="174" t="s">
        <v>128</v>
      </c>
      <c r="F12" s="174" t="s">
        <v>128</v>
      </c>
      <c r="G12" s="174" t="s">
        <v>128</v>
      </c>
      <c r="H12" s="174" t="s">
        <v>128</v>
      </c>
      <c r="I12" s="174" t="s">
        <v>128</v>
      </c>
      <c r="J12" s="174" t="s">
        <v>128</v>
      </c>
      <c r="K12" s="174" t="s">
        <v>128</v>
      </c>
      <c r="L12" s="174" t="s">
        <v>128</v>
      </c>
      <c r="M12" s="174" t="s">
        <v>128</v>
      </c>
      <c r="N12" s="174" t="s">
        <v>128</v>
      </c>
      <c r="O12" s="174" t="s">
        <v>128</v>
      </c>
      <c r="P12" s="174" t="s">
        <v>128</v>
      </c>
      <c r="Q12" s="174" t="s">
        <v>128</v>
      </c>
      <c r="R12" s="174" t="s">
        <v>128</v>
      </c>
      <c r="S12" s="174" t="s">
        <v>128</v>
      </c>
      <c r="T12" s="174" t="s">
        <v>128</v>
      </c>
      <c r="U12" s="174" t="s">
        <v>128</v>
      </c>
      <c r="V12" s="174" t="s">
        <v>128</v>
      </c>
      <c r="W12" s="174" t="s">
        <v>128</v>
      </c>
      <c r="X12" s="174" t="s">
        <v>128</v>
      </c>
      <c r="Y12" s="174" t="s">
        <v>128</v>
      </c>
      <c r="Z12" s="174" t="s">
        <v>128</v>
      </c>
      <c r="AA12" s="174" t="s">
        <v>128</v>
      </c>
      <c r="AB12" s="174" t="s">
        <v>128</v>
      </c>
      <c r="AC12" s="174" t="s">
        <v>128</v>
      </c>
      <c r="AD12" s="174" t="s">
        <v>128</v>
      </c>
    </row>
    <row r="13" spans="2:30" ht="27.65" customHeight="1" x14ac:dyDescent="0.35"/>
  </sheetData>
  <sheetProtection algorithmName="SHA-512" hashValue="z7z1WceMPWDkqmhGlOKZzKGbT0FhDrhiYh+bMu/3ydJkDBZCff6v47I1MSQPobBUh4FCrl4NdtE6BaXfXiVQMA==" saltValue="AzAXMKMmbPQ1BSJsA6eRYA==" spinCount="100000" sheet="1" objects="1" scenarios="1" sort="0" autoFilter="0"/>
  <sortState xmlns:xlrd2="http://schemas.microsoft.com/office/spreadsheetml/2017/richdata2" ref="B8:B10">
    <sortCondition ref="B8"/>
  </sortState>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F23B-9490-47E9-99AC-DDB3121F521B}">
  <dimension ref="B1:U33"/>
  <sheetViews>
    <sheetView showGridLines="0" showRowColHeaders="0" zoomScale="70" zoomScaleNormal="70" workbookViewId="0">
      <selection activeCell="AB5" sqref="AB5"/>
    </sheetView>
  </sheetViews>
  <sheetFormatPr defaultColWidth="8.7265625" defaultRowHeight="14.5" x14ac:dyDescent="0.35"/>
  <cols>
    <col min="1" max="1" width="8.7265625" style="8"/>
    <col min="2" max="2" width="33.54296875" style="8" customWidth="1"/>
    <col min="3" max="3" width="5.453125" style="8" customWidth="1"/>
    <col min="4" max="4" width="6.54296875" style="130" customWidth="1"/>
    <col min="5" max="9" width="8.7265625" style="130"/>
    <col min="10" max="12" width="9.1796875" style="8" customWidth="1"/>
    <col min="13" max="16384" width="8.7265625" style="8"/>
  </cols>
  <sheetData>
    <row r="1" spans="2:21" x14ac:dyDescent="0.35">
      <c r="B1" s="129" t="s">
        <v>157</v>
      </c>
    </row>
    <row r="2" spans="2:21" x14ac:dyDescent="0.35">
      <c r="B2" s="129" t="s">
        <v>153</v>
      </c>
    </row>
    <row r="4" spans="2:21" ht="21.5" thickBot="1" x14ac:dyDescent="0.55000000000000004">
      <c r="B4" s="131" t="s">
        <v>151</v>
      </c>
      <c r="C4" s="131"/>
      <c r="D4" s="186">
        <v>2019</v>
      </c>
      <c r="E4" s="186"/>
      <c r="F4" s="187"/>
      <c r="G4" s="186">
        <v>2020</v>
      </c>
      <c r="H4" s="186"/>
      <c r="I4" s="187"/>
      <c r="J4" s="186">
        <v>2021</v>
      </c>
      <c r="K4" s="186"/>
      <c r="L4" s="187"/>
      <c r="M4" s="186">
        <v>2022</v>
      </c>
      <c r="N4" s="186"/>
      <c r="O4" s="187"/>
      <c r="P4" s="186">
        <v>2023</v>
      </c>
      <c r="Q4" s="186"/>
      <c r="R4" s="187"/>
      <c r="S4" s="188">
        <v>2023</v>
      </c>
      <c r="T4" s="189"/>
      <c r="U4" s="190"/>
    </row>
    <row r="5" spans="2:21" ht="38.5" customHeight="1" x14ac:dyDescent="0.35">
      <c r="B5" s="132"/>
      <c r="C5" s="133"/>
      <c r="D5" s="185" t="str">
        <f>IFERROR('Pivot Index'!$R$2,"")</f>
        <v>(Alla)</v>
      </c>
      <c r="E5" s="185"/>
      <c r="F5" s="185"/>
      <c r="G5" s="185" t="str">
        <f>IFERROR('Pivot Index'!$R$2,"")</f>
        <v>(Alla)</v>
      </c>
      <c r="H5" s="185"/>
      <c r="I5" s="185"/>
      <c r="J5" s="185" t="str">
        <f>IFERROR('Pivot Index'!$R$2,"")</f>
        <v>(Alla)</v>
      </c>
      <c r="K5" s="185"/>
      <c r="L5" s="185"/>
      <c r="M5" s="185" t="str">
        <f>IFERROR('Pivot Index'!$R$2,"")</f>
        <v>(Alla)</v>
      </c>
      <c r="N5" s="185"/>
      <c r="O5" s="185"/>
      <c r="P5" s="185" t="str">
        <f>IFERROR('Pivot Index'!$R$2,"")</f>
        <v>(Alla)</v>
      </c>
      <c r="Q5" s="185"/>
      <c r="R5" s="185"/>
      <c r="S5" s="134" t="s">
        <v>139</v>
      </c>
      <c r="T5" s="135" t="s">
        <v>140</v>
      </c>
      <c r="U5" s="136" t="s">
        <v>6</v>
      </c>
    </row>
    <row r="6" spans="2:21" x14ac:dyDescent="0.35">
      <c r="B6" s="137" t="s">
        <v>55</v>
      </c>
      <c r="C6" s="133"/>
      <c r="D6" s="139"/>
      <c r="E6" s="138">
        <f>IFERROR(IF(GETPIVOTDATA("Mina lärare vet vad jag ska lära mig",'Pivot Index'!$A$113,"År",2019)&gt;6,(GETPIVOTDATA("Mina lärare vet vad jag ska lära mig",'Pivot Index'!$Q$113,"År",2019)),""),"")</f>
        <v>8.6675714285714296</v>
      </c>
      <c r="F6" s="139"/>
      <c r="G6" s="139"/>
      <c r="H6" s="138">
        <f>IFERROR(IF(GETPIVOTDATA("Mina lärare vet vad jag ska lära mig",'Pivot Index'!$A$113,"År",2020)&gt;6,(GETPIVOTDATA("Mina lärare vet vad jag ska lära mig",'Pivot Index'!$Q$113,"År",2020)),""),"")</f>
        <v>8.1217021276595727</v>
      </c>
      <c r="I6" s="138"/>
      <c r="J6" s="139"/>
      <c r="K6" s="138">
        <f>IFERROR(IF(GETPIVOTDATA("Mina lärare vet vad jag ska lära mig",'Pivot Index'!$A$113,"År",2021)&gt;6,(GETPIVOTDATA("Mina lärare vet vad jag ska lära mig",'Pivot Index'!$Q$113,"År",2021)),""),"")</f>
        <v>8.528139534883719</v>
      </c>
      <c r="L6" s="138"/>
      <c r="M6" s="139"/>
      <c r="N6" s="138">
        <f>IFERROR(IF(GETPIVOTDATA("Mina lärare vet vad jag ska lära mig",'Pivot Index'!$A$113,"År",2022)&gt;6,(GETPIVOTDATA("Mina lärare vet vad jag ska lära mig",'Pivot Index'!$Q$113,"År",2022)),""),"")</f>
        <v>9.1143617021276597</v>
      </c>
      <c r="O6" s="138"/>
      <c r="P6" s="139"/>
      <c r="Q6" s="138">
        <f>IFERROR(IF(GETPIVOTDATA("Mina lärare vet vad jag ska lära mig",'Pivot Index'!$A$113,"År",2023)&gt;6,(GETPIVOTDATA("Mina lärare vet vad jag ska lära mig",'Pivot Index'!$Q$113,"År",2023)),""),"")</f>
        <v>8.8242352941176456</v>
      </c>
      <c r="R6" s="138"/>
      <c r="S6" s="140">
        <v>8.9404545454545445</v>
      </c>
      <c r="T6" s="141">
        <v>8.8706779661016952</v>
      </c>
      <c r="U6" s="142">
        <v>8.8242352941176456</v>
      </c>
    </row>
    <row r="7" spans="2:21" ht="29" x14ac:dyDescent="0.35">
      <c r="B7" s="137" t="s">
        <v>56</v>
      </c>
      <c r="C7" s="133"/>
      <c r="D7" s="139"/>
      <c r="E7" s="138">
        <f>IFERROR(IF(GETPIVOTDATA("När jag vill lära mig mer får jag nya uppgifter",'Pivot Index'!$A$125,"År",2019)&gt;6,(GETPIVOTDATA("När jag vill lära mig mer får jag nya uppgifter",'Pivot Index'!$Q$125,"År",2019)),""),"")</f>
        <v>8.702337662337662</v>
      </c>
      <c r="F7" s="139"/>
      <c r="G7" s="139"/>
      <c r="H7" s="138">
        <f>IFERROR(IF(GETPIVOTDATA("När jag vill lära mig mer får jag nya uppgifter",'Pivot Index'!$A$125,"År",2020)&gt;6,(GETPIVOTDATA("När jag vill lära mig mer får jag nya uppgifter",'Pivot Index'!$Q$125,"År",2020)),""),"")</f>
        <v>8.5892941176470572</v>
      </c>
      <c r="I7" s="138"/>
      <c r="J7" s="139"/>
      <c r="K7" s="138">
        <f>IFERROR(IF(GETPIVOTDATA("När jag vill lära mig mer får jag nya uppgifter",'Pivot Index'!$A$125,"År",2021)&gt;6,(GETPIVOTDATA("När jag vill lära mig mer får jag nya uppgifter",'Pivot Index'!$Q$125,"År",2021)),""),"")</f>
        <v>8.161954022988505</v>
      </c>
      <c r="L7" s="138"/>
      <c r="M7" s="139"/>
      <c r="N7" s="138">
        <f>IFERROR(IF(GETPIVOTDATA("När jag vill lära mig mer får jag nya uppgifter",'Pivot Index'!$A$125,"År",2022)&gt;6,(GETPIVOTDATA("När jag vill lära mig mer får jag nya uppgifter",'Pivot Index'!$Q$125,"År",2022)),""),"")</f>
        <v>8.8897777777777769</v>
      </c>
      <c r="O7" s="138"/>
      <c r="P7" s="139"/>
      <c r="Q7" s="138">
        <f>IFERROR(IF(GETPIVOTDATA("När jag vill lära mig mer får jag nya uppgifter",'Pivot Index'!$A$125,"År",2023)&gt;6,(GETPIVOTDATA("När jag vill lära mig mer får jag nya uppgifter",'Pivot Index'!$Q$125,"År",2023)),""),"")</f>
        <v>8.6443023255813944</v>
      </c>
      <c r="R7" s="138"/>
      <c r="S7" s="140">
        <v>8.8895238095238103</v>
      </c>
      <c r="T7" s="141">
        <v>8.7231666666666658</v>
      </c>
      <c r="U7" s="142">
        <v>8.6443023255813944</v>
      </c>
    </row>
    <row r="8" spans="2:21" x14ac:dyDescent="0.35">
      <c r="B8" s="137" t="s">
        <v>66</v>
      </c>
      <c r="C8" s="133"/>
      <c r="D8" s="139"/>
      <c r="E8" s="138">
        <f>IFERROR(IF(GETPIVOTDATA("Jag känner att jag lyckas i skolan",'Pivot Index'!$A$137,"År",2019)&gt;6,(GETPIVOTDATA("Jag känner att jag lyckas i skolan",'Pivot Index'!$Q$137,"År",2019)),""),"")</f>
        <v>8.6044594594594592</v>
      </c>
      <c r="F8" s="139"/>
      <c r="G8" s="139"/>
      <c r="H8" s="138">
        <f>IFERROR(IF(GETPIVOTDATA("Jag känner att jag lyckas i skolan",'Pivot Index'!$A$137,"År",2020)&gt;6,(GETPIVOTDATA("Jag känner att jag lyckas i skolan",'Pivot Index'!$Q$137,"År",2020)),""),"")</f>
        <v>8.5282558139534856</v>
      </c>
      <c r="I8" s="138"/>
      <c r="J8" s="139"/>
      <c r="K8" s="138">
        <f>IFERROR(IF(GETPIVOTDATA("Jag känner att jag lyckas i skolan",'Pivot Index'!$A$137,"År",2021)&gt;6,(GETPIVOTDATA("Jag känner att jag lyckas i skolan",'Pivot Index'!$Q$137,"År",2021)),""),"")</f>
        <v>8.2207954545454527</v>
      </c>
      <c r="L8" s="138"/>
      <c r="M8" s="139"/>
      <c r="N8" s="138">
        <f>IFERROR(IF(GETPIVOTDATA("Jag känner att jag lyckas i skolan",'Pivot Index'!$A$137,"År",2022)&gt;6,(GETPIVOTDATA("Jag känner att jag lyckas i skolan",'Pivot Index'!$Q$137,"År",2022)),""),"")</f>
        <v>8.7106451612903211</v>
      </c>
      <c r="O8" s="138"/>
      <c r="P8" s="139"/>
      <c r="Q8" s="138">
        <f>IFERROR(IF(GETPIVOTDATA("Jag känner att jag lyckas i skolan",'Pivot Index'!$A$137,"År",2023)&gt;6,(GETPIVOTDATA("Jag känner att jag lyckas i skolan",'Pivot Index'!$Q$137,"År",2023)),""),"")</f>
        <v>8.4712941176470586</v>
      </c>
      <c r="R8" s="138"/>
      <c r="S8" s="140">
        <v>7.9721739130434788</v>
      </c>
      <c r="T8" s="141">
        <v>8.7724561403508776</v>
      </c>
      <c r="U8" s="142">
        <v>8.4712941176470586</v>
      </c>
    </row>
    <row r="9" spans="2:21" ht="29" x14ac:dyDescent="0.35">
      <c r="B9" s="137" t="s">
        <v>24</v>
      </c>
      <c r="C9" s="133"/>
      <c r="D9" s="139"/>
      <c r="E9" s="138">
        <f>IFERROR(IF(GETPIVOTDATA("F7",'Pivot Index'!$A$17,"År",2019)&gt;6,(GETPIVOTDATA("F7",'Pivot Index'!$Q$17,"År",2019)),""),"")</f>
        <v>9.283164556962026</v>
      </c>
      <c r="F9" s="139"/>
      <c r="G9" s="139"/>
      <c r="H9" s="138">
        <f>IFERROR(IF(GETPIVOTDATA("F7",'Pivot Index'!$A$17,"År",2020)&gt;6,(GETPIVOTDATA("F7",'Pivot Index'!$Q$17,"År",2020)),""),"")</f>
        <v>9.0881052631578942</v>
      </c>
      <c r="I9" s="138"/>
      <c r="J9" s="139"/>
      <c r="K9" s="138">
        <f>IFERROR(IF(GETPIVOTDATA("F7",'Pivot Index'!$A$17,"År",2021)&gt;6,(GETPIVOTDATA("F7",'Pivot Index'!$Q$17,"År",2021)),""),"")</f>
        <v>9.1672727272727279</v>
      </c>
      <c r="L9" s="138"/>
      <c r="M9" s="139"/>
      <c r="N9" s="138">
        <f>IFERROR(IF(GETPIVOTDATA("F7",'Pivot Index'!$A$17,"År",2022)&gt;6,(GETPIVOTDATA("F7",'Pivot Index'!$Q$17,"År",2022)),""),"")</f>
        <v>9.3974468085106384</v>
      </c>
      <c r="O9" s="138"/>
      <c r="P9" s="139"/>
      <c r="Q9" s="138">
        <f>IFERROR(IF(GETPIVOTDATA("F7",'Pivot Index'!$A$17,"År",2023)&gt;6,(GETPIVOTDATA("F7",'Pivot Index'!$Q$17,"År",2023)),""),"")</f>
        <v>8.889540229885057</v>
      </c>
      <c r="R9" s="138"/>
      <c r="S9" s="140">
        <v>8.8413043478260871</v>
      </c>
      <c r="T9" s="141">
        <v>9.0401694915254236</v>
      </c>
      <c r="U9" s="142">
        <v>8.889540229885057</v>
      </c>
    </row>
    <row r="10" spans="2:21" ht="29" x14ac:dyDescent="0.35">
      <c r="B10" s="137" t="s">
        <v>57</v>
      </c>
      <c r="C10" s="133"/>
      <c r="D10" s="139"/>
      <c r="E10" s="138">
        <f>IFERROR(IF(GETPIVOTDATA("Jag får lära mig på olika sätt exempelvis läsa, lyssna, se film, skriva",'Pivot Index'!$A$149,"År",2019)&gt;6,(GETPIVOTDATA("Jag får lära mig på olika sätt exempelvis läsa, lyssna, se film, skriva",'Pivot Index'!$Q$149,"År",2019)),""),"")</f>
        <v>8.4941095890410949</v>
      </c>
      <c r="F10" s="139"/>
      <c r="G10" s="139"/>
      <c r="H10" s="138">
        <f>IFERROR(IF(GETPIVOTDATA("Jag får lära mig på olika sätt exempelvis läsa, lyssna, se film, skriva",'Pivot Index'!$A$149,"År",2020)&gt;6,(GETPIVOTDATA("Jag får lära mig på olika sätt exempelvis läsa, lyssna, se film, skriva",'Pivot Index'!$Q$149,"År",2020)),""),"")</f>
        <v>8.8398876404494366</v>
      </c>
      <c r="I10" s="138"/>
      <c r="J10" s="139"/>
      <c r="K10" s="138">
        <f>IFERROR(IF(GETPIVOTDATA("Jag får lära mig på olika sätt exempelvis läsa, lyssna, se film, skriva",'Pivot Index'!$A$149,"År",2021)&gt;6,(GETPIVOTDATA("Jag får lära mig på olika sätt exempelvis läsa, lyssna, se film, skriva",'Pivot Index'!$Q$149,"År",2021)),""),"")</f>
        <v>8.6753409090909077</v>
      </c>
      <c r="L10" s="138"/>
      <c r="M10" s="139"/>
      <c r="N10" s="138">
        <f>IFERROR(IF(GETPIVOTDATA("Jag får lära mig på olika sätt exempelvis läsa, lyssna, se film, skriva",'Pivot Index'!$A$149,"År",2022)&gt;6,(GETPIVOTDATA("Jag får lära mig på olika sätt exempelvis läsa, lyssna, se film, skriva",'Pivot Index'!$Q$149,"År",2022)),""),"")</f>
        <v>9.3060416666666672</v>
      </c>
      <c r="O10" s="138"/>
      <c r="P10" s="139"/>
      <c r="Q10" s="138">
        <f>IFERROR(IF(GETPIVOTDATA("Jag får lära mig på olika sätt exempelvis läsa, lyssna, se film, skriva",'Pivot Index'!$A$149,"År",2023)&gt;6,(GETPIVOTDATA("Jag får lära mig på olika sätt exempelvis läsa, lyssna, se film, skriva",'Pivot Index'!$Q$149,"År",2023)),""),"")</f>
        <v>8.8767441860465119</v>
      </c>
      <c r="R10" s="138"/>
      <c r="S10" s="140">
        <v>8.6372727272727285</v>
      </c>
      <c r="T10" s="141">
        <v>9.0401694915254236</v>
      </c>
      <c r="U10" s="142">
        <v>8.8767441860465119</v>
      </c>
    </row>
    <row r="11" spans="2:21" x14ac:dyDescent="0.35">
      <c r="B11" s="137" t="s">
        <v>25</v>
      </c>
      <c r="C11" s="133"/>
      <c r="D11" s="139"/>
      <c r="E11" s="138">
        <f>IFERROR(IF(GETPIVOTDATA("F9",'Pivot Index'!$A$29,"År",2019)&gt;6,(GETPIVOTDATA("F9",'Pivot Index'!$Q$29,"År",2019)),""),"")</f>
        <v>8.4941095890410949</v>
      </c>
      <c r="F11" s="139"/>
      <c r="G11" s="139"/>
      <c r="H11" s="138">
        <f>IFERROR(IF(GETPIVOTDATA("F9",'Pivot Index'!$A$29,"År",2020)&gt;6,(GETPIVOTDATA("F9",'Pivot Index'!$Q$29,"År",2020)),""),"")</f>
        <v>7.699285714285713</v>
      </c>
      <c r="I11" s="138"/>
      <c r="J11" s="139"/>
      <c r="K11" s="138">
        <f>IFERROR(IF(GETPIVOTDATA("F9",'Pivot Index'!$A$29,"År",2021)&gt;6,(GETPIVOTDATA("F9",'Pivot Index'!$Q$29,"År",2021)),""),"")</f>
        <v>8.0428749999999987</v>
      </c>
      <c r="L11" s="138"/>
      <c r="M11" s="139"/>
      <c r="N11" s="138">
        <f>IFERROR(IF(GETPIVOTDATA("F9",'Pivot Index'!$A$29,"År",2022)&gt;6,(GETPIVOTDATA("F9",'Pivot Index'!$Q$29,"År",2022)),""),"")</f>
        <v>8.4482954545454518</v>
      </c>
      <c r="O11" s="138"/>
      <c r="P11" s="139"/>
      <c r="Q11" s="138">
        <f>IFERROR(IF(GETPIVOTDATA("F9",'Pivot Index'!$A$29,"År",2023)&gt;6,(GETPIVOTDATA("F9",'Pivot Index'!$Q$29,"År",2023)),""),"")</f>
        <v>8.4243243243243242</v>
      </c>
      <c r="R11" s="138"/>
      <c r="S11" s="140">
        <v>8.236470588235294</v>
      </c>
      <c r="T11" s="141">
        <v>8.6546153846153846</v>
      </c>
      <c r="U11" s="142">
        <v>8.4243243243243242</v>
      </c>
    </row>
    <row r="12" spans="2:21" ht="29" x14ac:dyDescent="0.35">
      <c r="B12" s="137" t="s">
        <v>64</v>
      </c>
      <c r="C12" s="133"/>
      <c r="D12" s="139"/>
      <c r="E12" s="138">
        <f>IFERROR(IF(GETPIVOTDATA("På lektionerna pratar vi om sådant som vi hört och läst",'Pivot Index'!$A$161,"År",2019)&gt;6,(GETPIVOTDATA("På lektionerna pratar vi om sådant som vi hört och läst",'Pivot Index'!$Q$161,"År",2019)),""),"")</f>
        <v>8.81657894736842</v>
      </c>
      <c r="F12" s="139"/>
      <c r="G12" s="139"/>
      <c r="H12" s="138">
        <f>IFERROR(IF(GETPIVOTDATA("På lektionerna pratar vi om sådant som vi hört och läst",'Pivot Index'!$A$161,"År",2020)&gt;6,(GETPIVOTDATA("På lektionerna pratar vi om sådant som vi hört och läst",'Pivot Index'!$Q$161,"År",2020)),""),"")</f>
        <v>8.6458241758241741</v>
      </c>
      <c r="I12" s="138"/>
      <c r="J12" s="139"/>
      <c r="K12" s="138">
        <f>IFERROR(IF(GETPIVOTDATA("På lektionerna pratar vi om sådant som vi hört och läst",'Pivot Index'!$A$161,"År",2021)&gt;6,(GETPIVOTDATA("På lektionerna pratar vi om sådant som vi hört och läst",'Pivot Index'!$Q$161,"År",2021)),""),"")</f>
        <v>8.3714444444444425</v>
      </c>
      <c r="L12" s="138"/>
      <c r="M12" s="139"/>
      <c r="N12" s="138">
        <f>IFERROR(IF(GETPIVOTDATA("På lektionerna pratar vi om sådant som vi hört och läst",'Pivot Index'!$A$161,"År",2022)&gt;6,(GETPIVOTDATA("På lektionerna pratar vi om sådant som vi hört och läst",'Pivot Index'!$Q$161,"År",2022)),""),"")</f>
        <v>8.7105376344086007</v>
      </c>
      <c r="O12" s="138"/>
      <c r="P12" s="139"/>
      <c r="Q12" s="138">
        <f>IFERROR(IF(GETPIVOTDATA("På lektionerna pratar vi om sådant som vi hört och läst",'Pivot Index'!$A$161,"År",2023)&gt;6,(GETPIVOTDATA("På lektionerna pratar vi om sådant som vi hört och läst",'Pivot Index'!$Q$161,"År",2023)),""),"")</f>
        <v>8.8242352941176456</v>
      </c>
      <c r="R12" s="138"/>
      <c r="S12" s="140">
        <v>8.9404545454545445</v>
      </c>
      <c r="T12" s="141">
        <v>8.8706779661016952</v>
      </c>
      <c r="U12" s="142">
        <v>8.8242352941176456</v>
      </c>
    </row>
    <row r="13" spans="2:21" ht="29" x14ac:dyDescent="0.35">
      <c r="B13" s="137" t="s">
        <v>65</v>
      </c>
      <c r="C13" s="133"/>
      <c r="D13" s="139"/>
      <c r="E13" s="138">
        <f>IFERROR(IF(GETPIVOTDATA("I skolan pratar vi om att alla är lika mycket värda ",'Pivot Index'!$A$173,"År",2019)&gt;6,(GETPIVOTDATA("I skolan pratar vi om att alla är lika mycket värda ",'Pivot Index'!$Q$173,"År",2019)),""),"")</f>
        <v>9.087534246575343</v>
      </c>
      <c r="F13" s="139"/>
      <c r="G13" s="139"/>
      <c r="H13" s="138">
        <f>IFERROR(IF(GETPIVOTDATA("I skolan pratar vi om att alla är lika mycket värda ",'Pivot Index'!$A$173,"År",2020)&gt;6,(GETPIVOTDATA("I skolan pratar vi om att alla är lika mycket värda ",'Pivot Index'!$Q$173,"År",2020)),""),"")</f>
        <v>8.8781052631578952</v>
      </c>
      <c r="I13" s="138"/>
      <c r="J13" s="139"/>
      <c r="K13" s="138">
        <f>IFERROR(IF(GETPIVOTDATA("I skolan pratar vi om att alla är lika mycket värda ",'Pivot Index'!$A$173,"År",2021)&gt;6,(GETPIVOTDATA("I skolan pratar vi om att alla är lika mycket värda ",'Pivot Index'!$Q$173,"År",2021)),""),"")</f>
        <v>8.7849411764705891</v>
      </c>
      <c r="L13" s="138"/>
      <c r="M13" s="139"/>
      <c r="N13" s="138">
        <f>IFERROR(IF(GETPIVOTDATA("I skolan pratar vi om att alla är lika mycket värda ",'Pivot Index'!$A$173,"År",2022)&gt;6,(GETPIVOTDATA("I skolan pratar vi om att alla är lika mycket värda ",'Pivot Index'!$Q$173,"År",2022)),""),"")</f>
        <v>9.4446666666666665</v>
      </c>
      <c r="O13" s="138"/>
      <c r="P13" s="139"/>
      <c r="Q13" s="138">
        <f>IFERROR(IF(GETPIVOTDATA("I skolan pratar vi om att alla är lika mycket värda ",'Pivot Index'!$A$173,"År",2023)&gt;6,(GETPIVOTDATA("I skolan pratar vi om att alla är lika mycket värda ",'Pivot Index'!$Q$173,"År",2023)),""),"")</f>
        <v>8.6443023255813944</v>
      </c>
      <c r="R13" s="138"/>
      <c r="S13" s="140">
        <v>8.8895238095238103</v>
      </c>
      <c r="T13" s="141">
        <v>8.7231666666666658</v>
      </c>
      <c r="U13" s="142">
        <v>8.6443023255813944</v>
      </c>
    </row>
    <row r="14" spans="2:21" ht="29" x14ac:dyDescent="0.35">
      <c r="B14" s="137" t="s">
        <v>58</v>
      </c>
      <c r="C14" s="133"/>
      <c r="D14" s="139"/>
      <c r="E14" s="138">
        <f>IFERROR(IF(GETPIVOTDATA("Vi brukar prata om hur vi ska bemöta varandra",'Pivot Index'!$A$185,"År",2019)&gt;6,(GETPIVOTDATA("Vi brukar prata om hur vi ska bemöta varandra",'Pivot Index'!$Q$185,"År",2019)),""),"")</f>
        <v>9.1145569620253166</v>
      </c>
      <c r="F14" s="139"/>
      <c r="G14" s="139"/>
      <c r="H14" s="138">
        <f>IFERROR(IF(GETPIVOTDATA("Vi brukar prata om hur vi ska bemöta varandra",'Pivot Index'!$A$185,"År",2020)&gt;6,(GETPIVOTDATA("Vi brukar prata om hur vi ska bemöta varandra",'Pivot Index'!$Q$185,"År",2020)),""),"")</f>
        <v>8.8264772727272724</v>
      </c>
      <c r="I14" s="138"/>
      <c r="J14" s="139"/>
      <c r="K14" s="138">
        <f>IFERROR(IF(GETPIVOTDATA("Vi brukar prata om hur vi ska bemöta varandra",'Pivot Index'!$A$185,"År",2021)&gt;6,(GETPIVOTDATA("Vi brukar prata om hur vi ska bemöta varandra",'Pivot Index'!$Q$185,"År",2021)),""),"")</f>
        <v>8.6371590909090905</v>
      </c>
      <c r="L14" s="138"/>
      <c r="M14" s="139"/>
      <c r="N14" s="138">
        <f>IFERROR(IF(GETPIVOTDATA("Vi brukar prata om hur vi ska bemöta varandra",'Pivot Index'!$A$185,"År",2022)&gt;6,(GETPIVOTDATA("Vi brukar prata om hur vi ska bemöta varandra",'Pivot Index'!$Q$185,"År",2022)),""),"")</f>
        <v>9.3911827956989242</v>
      </c>
      <c r="O14" s="138"/>
      <c r="P14" s="139"/>
      <c r="Q14" s="138">
        <f>IFERROR(IF(GETPIVOTDATA("Vi brukar prata om hur vi ska bemöta varandra",'Pivot Index'!$A$185,"År",2023)&gt;6,(GETPIVOTDATA("Vi brukar prata om hur vi ska bemöta varandra",'Pivot Index'!$Q$185,"År",2023)),""),"")</f>
        <v>8.4830588235294115</v>
      </c>
      <c r="R14" s="138"/>
      <c r="S14" s="140">
        <v>8.0156521739130433</v>
      </c>
      <c r="T14" s="141">
        <v>8.7724561403508776</v>
      </c>
      <c r="U14" s="142">
        <v>8.4830588235294115</v>
      </c>
    </row>
    <row r="15" spans="2:21" ht="29" x14ac:dyDescent="0.35">
      <c r="B15" s="137" t="s">
        <v>59</v>
      </c>
      <c r="C15" s="133"/>
      <c r="D15" s="139"/>
      <c r="E15" s="138">
        <f>IFERROR(IF(GETPIVOTDATA("Ingen i skolan gör skillnad på tjejer eller killar",'Pivot Index'!$A$197,"År",2019)&gt;6,(GETPIVOTDATA("Ingen i skolan gör skillnad på tjejer eller killar",'Pivot Index'!$Q$197,"År",2019)),""),"")</f>
        <v>8.9376811594202898</v>
      </c>
      <c r="F15" s="139"/>
      <c r="G15" s="139"/>
      <c r="H15" s="138">
        <f>IFERROR(IF(GETPIVOTDATA("Ingen i skolan gör skillnad på tjejer eller killar",'Pivot Index'!$A$197,"År",2020)&gt;6,(GETPIVOTDATA("Ingen i skolan gör skillnad på tjejer eller killar",'Pivot Index'!$Q$197,"År",2020)),""),"")</f>
        <v>8.915232558139536</v>
      </c>
      <c r="I15" s="138"/>
      <c r="J15" s="139"/>
      <c r="K15" s="138">
        <f>IFERROR(IF(GETPIVOTDATA("Ingen i skolan gör skillnad på tjejer eller killar",'Pivot Index'!$A$197,"År",2021)&gt;6,(GETPIVOTDATA("Ingen i skolan gör skillnad på tjejer eller killar",'Pivot Index'!$Q$197,"År",2021)),""),"")</f>
        <v>8.9307407407407418</v>
      </c>
      <c r="L15" s="138"/>
      <c r="M15" s="139"/>
      <c r="N15" s="138">
        <f>IFERROR(IF(GETPIVOTDATA("Ingen i skolan gör skillnad på tjejer eller killar",'Pivot Index'!$A$197,"År",2022)&gt;6,(GETPIVOTDATA("Ingen i skolan gör skillnad på tjejer eller killar",'Pivot Index'!$Q$197,"År",2022)),""),"")</f>
        <v>9.3009876543209877</v>
      </c>
      <c r="O15" s="138"/>
      <c r="P15" s="139"/>
      <c r="Q15" s="138">
        <f>IFERROR(IF(GETPIVOTDATA("Ingen i skolan gör skillnad på tjejer eller killar",'Pivot Index'!$A$197,"År",2023)&gt;6,(GETPIVOTDATA("Ingen i skolan gör skillnad på tjejer eller killar",'Pivot Index'!$Q$197,"År",2023)),""),"")</f>
        <v>8.8883720930232553</v>
      </c>
      <c r="R15" s="138"/>
      <c r="S15" s="140">
        <v>8.6827272727272735</v>
      </c>
      <c r="T15" s="141">
        <v>9.0401694915254236</v>
      </c>
      <c r="U15" s="142">
        <v>8.8883720930232553</v>
      </c>
    </row>
    <row r="16" spans="2:21" ht="29" x14ac:dyDescent="0.35">
      <c r="B16" s="137" t="s">
        <v>67</v>
      </c>
      <c r="C16" s="133"/>
      <c r="D16" s="139"/>
      <c r="E16" s="138">
        <f>IFERROR(IF(GETPIVOTDATA("I min skola är vi snälla och lyssnar på varandra",'Pivot Index'!$A$209,"År",2019)&gt;6,(GETPIVOTDATA("I min skola är vi snälla och lyssnar på varandra",'Pivot Index'!$Q$209,"År",2019)),""),"")</f>
        <v>8.5785333333333327</v>
      </c>
      <c r="F16" s="139"/>
      <c r="G16" s="139"/>
      <c r="H16" s="138">
        <f>IFERROR(IF(GETPIVOTDATA("I min skola är vi snälla och lyssnar på varandra",'Pivot Index'!$A$209,"År",2020)&gt;6,(GETPIVOTDATA("I min skola är vi snälla och lyssnar på varandra",'Pivot Index'!$Q$209,"År",2020)),""),"")</f>
        <v>8.0008421052631551</v>
      </c>
      <c r="I16" s="138"/>
      <c r="J16" s="139"/>
      <c r="K16" s="138">
        <f>IFERROR(IF(GETPIVOTDATA("I min skola är vi snälla och lyssnar på varandra",'Pivot Index'!$A$209,"År",2021)&gt;6,(GETPIVOTDATA("I min skola är vi snälla och lyssnar på varandra",'Pivot Index'!$Q$209,"År",2021)),""),"")</f>
        <v>8.2031460674157302</v>
      </c>
      <c r="L16" s="138"/>
      <c r="M16" s="139"/>
      <c r="N16" s="138">
        <f>IFERROR(IF(GETPIVOTDATA("I min skola är vi snälla och lyssnar på varandra",'Pivot Index'!$A$209,"År",2022)&gt;6,(GETPIVOTDATA("I min skola är vi snälla och lyssnar på varandra",'Pivot Index'!$Q$209,"År",2022)),""),"")</f>
        <v>8.5613636363636356</v>
      </c>
      <c r="O16" s="138"/>
      <c r="P16" s="139"/>
      <c r="Q16" s="138">
        <f>IFERROR(IF(GETPIVOTDATA("I min skola är vi snälla och lyssnar på varandra",'Pivot Index'!$A$209,"År",2023)&gt;6,(GETPIVOTDATA("I min skola är vi snälla och lyssnar på varandra",'Pivot Index'!$Q$209,"År",2023)),""),"")</f>
        <v>8.519135802469135</v>
      </c>
      <c r="R16" s="138"/>
      <c r="S16" s="140">
        <v>8.7304761904761907</v>
      </c>
      <c r="T16" s="141">
        <v>8.606727272727273</v>
      </c>
      <c r="U16" s="142">
        <v>8.519135802469135</v>
      </c>
    </row>
    <row r="17" spans="2:21" ht="29" x14ac:dyDescent="0.35">
      <c r="B17" s="137" t="s">
        <v>63</v>
      </c>
      <c r="C17" s="133"/>
      <c r="D17" s="139"/>
      <c r="E17" s="138">
        <f>IFERROR(IF(GETPIVOTDATA("Jag får vara med och välja vad vi ska göra på lektionerna2",'Pivot Index'!$A$221,"År",2019)&gt;6,(GETPIVOTDATA("Jag får vara med och välja vad vi ska göra på lektionerna2",'Pivot Index'!$Q$221,"År",2019)),""),"")</f>
        <v>7.5888157894736814</v>
      </c>
      <c r="F17" s="139"/>
      <c r="G17" s="139"/>
      <c r="H17" s="138">
        <f>IFERROR(IF(GETPIVOTDATA("Jag får vara med och välja vad vi ska göra på lektionerna2",'Pivot Index'!$A$221,"År",2020)&gt;6,(GETPIVOTDATA("Jag får vara med och välja vad vi ska göra på lektionerna2",'Pivot Index'!$Q$221,"År",2020)),""),"")</f>
        <v>7.216941176470586</v>
      </c>
      <c r="I17" s="138"/>
      <c r="J17" s="139"/>
      <c r="K17" s="138">
        <f>IFERROR(IF(GETPIVOTDATA("Jag får vara med och välja vad vi ska göra på lektionerna2",'Pivot Index'!$A$221,"År",2021)&gt;6,(GETPIVOTDATA("Jag får vara med och välja vad vi ska göra på lektionerna2",'Pivot Index'!$Q$221,"År",2021)),""),"")</f>
        <v>7.5010714285714259</v>
      </c>
      <c r="L17" s="138"/>
      <c r="M17" s="139"/>
      <c r="N17" s="138">
        <f>IFERROR(IF(GETPIVOTDATA("Jag får vara med och välja vad vi ska göra på lektionerna2",'Pivot Index'!$A$221,"År",2022)&gt;6,(GETPIVOTDATA("Jag får vara med och välja vad vi ska göra på lektionerna2",'Pivot Index'!$Q$221,"År",2022)),""),"")</f>
        <v>7.6147727272727259</v>
      </c>
      <c r="O17" s="138"/>
      <c r="P17" s="139"/>
      <c r="Q17" s="138">
        <f>IFERROR(IF(GETPIVOTDATA("Jag får vara med och välja vad vi ska göra på lektionerna2",'Pivot Index'!$A$221,"År",2023)&gt;6,(GETPIVOTDATA("Jag får vara med och välja vad vi ska göra på lektionerna2",'Pivot Index'!$Q$221,"År",2023)),""),"")</f>
        <v>9.0536363636363646</v>
      </c>
      <c r="R17" s="138"/>
      <c r="S17" s="140">
        <v>8.9860869565217403</v>
      </c>
      <c r="T17" s="141">
        <v>9.2228333333333339</v>
      </c>
      <c r="U17" s="142">
        <v>9.0536363636363646</v>
      </c>
    </row>
    <row r="18" spans="2:21" ht="29" x14ac:dyDescent="0.35">
      <c r="B18" s="137" t="s">
        <v>68</v>
      </c>
      <c r="C18" s="133"/>
      <c r="D18" s="139"/>
      <c r="E18" s="138">
        <f>IFERROR(IF(GETPIVOTDATA("I min skola är eleverna med och bestämmer trivselregler",'Pivot Index'!$A$233,"År",2019)&gt;6,(GETPIVOTDATA("I min skola är eleverna med och bestämmer trivselregler",'Pivot Index'!$Q$233,"År",2019)),""),"")</f>
        <v>8.5301470588235286</v>
      </c>
      <c r="F18" s="139"/>
      <c r="G18" s="139"/>
      <c r="H18" s="138">
        <f>IFERROR(IF(GETPIVOTDATA("I min skola är eleverna med och bestämmer trivselregler",'Pivot Index'!$A$233,"År",2020)&gt;6,(GETPIVOTDATA("I min skola är eleverna med och bestämmer trivselregler",'Pivot Index'!$Q$233,"År",2020)),""),"")</f>
        <v>7.5617073170731697</v>
      </c>
      <c r="I18" s="138"/>
      <c r="J18" s="139"/>
      <c r="K18" s="138">
        <f>IFERROR(IF(GETPIVOTDATA("I min skola är eleverna med och bestämmer trivselregler",'Pivot Index'!$A$233,"År",2021)&gt;6,(GETPIVOTDATA("I min skola är eleverna med och bestämmer trivselregler",'Pivot Index'!$Q$233,"År",2021)),""),"")</f>
        <v>8.1581176470588215</v>
      </c>
      <c r="L18" s="138"/>
      <c r="M18" s="139"/>
      <c r="N18" s="138">
        <f>IFERROR(IF(GETPIVOTDATA("I min skola är eleverna med och bestämmer trivselregler",'Pivot Index'!$A$233,"År",2022)&gt;6,(GETPIVOTDATA("I min skola är eleverna med och bestämmer trivselregler",'Pivot Index'!$Q$233,"År",2022)),""),"")</f>
        <v>8.4969512195121943</v>
      </c>
      <c r="O18" s="138"/>
      <c r="P18" s="139"/>
      <c r="Q18" s="138">
        <f>IFERROR(IF(GETPIVOTDATA("I min skola är eleverna med och bestämmer trivselregler",'Pivot Index'!$A$233,"År",2023)&gt;6,(GETPIVOTDATA("I min skola är eleverna med och bestämmer trivselregler",'Pivot Index'!$Q$233,"År",2023)),""),"")</f>
        <v>9.2947058823529414</v>
      </c>
      <c r="R18" s="138"/>
      <c r="S18" s="140">
        <v>9.3945454545454545</v>
      </c>
      <c r="T18" s="141">
        <v>9.3108620689655162</v>
      </c>
      <c r="U18" s="142">
        <v>9.2947058823529414</v>
      </c>
    </row>
    <row r="19" spans="2:21" ht="29" x14ac:dyDescent="0.35">
      <c r="B19" s="137" t="s">
        <v>69</v>
      </c>
      <c r="C19" s="133"/>
      <c r="D19" s="139"/>
      <c r="E19" s="138">
        <f>IFERROR(IF(GETPIVOTDATA("Mina lärare säger ifrån om någon behandlas illa eller blir kränkt2",'Pivot Index'!$A$245,"År",2019)&gt;6,(GETPIVOTDATA("Mina lärare säger ifrån om någon behandlas illa eller blir kränkt2",'Pivot Index'!$Q$245,"År",2019)),""),"")</f>
        <v>8.9786666666666672</v>
      </c>
      <c r="F19" s="139"/>
      <c r="G19" s="139"/>
      <c r="H19" s="138">
        <f>IFERROR(IF(GETPIVOTDATA("Mina lärare säger ifrån om någon behandlas illa eller blir kränkt2",'Pivot Index'!$A$245,"År",2020)&gt;6,(GETPIVOTDATA("Mina lärare säger ifrån om någon behandlas illa eller blir kränkt2",'Pivot Index'!$Q$245,"År",2020)),""),"")</f>
        <v>8.8642045454545446</v>
      </c>
      <c r="I19" s="138"/>
      <c r="J19" s="139"/>
      <c r="K19" s="138">
        <f>IFERROR(IF(GETPIVOTDATA("Mina lärare säger ifrån om någon behandlas illa eller blir kränkt2",'Pivot Index'!$A$245,"År",2021)&gt;6,(GETPIVOTDATA("Mina lärare säger ifrån om någon behandlas illa eller blir kränkt2",'Pivot Index'!$Q$245,"År",2021)),""),"")</f>
        <v>8.7359770114942528</v>
      </c>
      <c r="L19" s="138"/>
      <c r="M19" s="139"/>
      <c r="N19" s="138">
        <f>IFERROR(IF(GETPIVOTDATA("Mina lärare säger ifrån om någon behandlas illa eller blir kränkt2",'Pivot Index'!$A$245,"År",2022)&gt;6,(GETPIVOTDATA("Mina lärare säger ifrån om någon behandlas illa eller blir kränkt2",'Pivot Index'!$Q$245,"År",2022)),""),"")</f>
        <v>8.9262222222222221</v>
      </c>
      <c r="O19" s="138"/>
      <c r="P19" s="139"/>
      <c r="Q19" s="138">
        <f>IFERROR(IF(GETPIVOTDATA("Mina lärare säger ifrån om någon behandlas illa eller blir kränkt2",'Pivot Index'!$A$245,"År",2023)&gt;6,(GETPIVOTDATA("Mina lärare säger ifrån om någon behandlas illa eller blir kränkt2",'Pivot Index'!$Q$245,"År",2023)),""),"")</f>
        <v>9.3080519480519488</v>
      </c>
      <c r="R19" s="138"/>
      <c r="S19" s="140">
        <v>9.2989473684210537</v>
      </c>
      <c r="T19" s="141">
        <v>9.3216666666666672</v>
      </c>
      <c r="U19" s="142">
        <v>9.3080519480519488</v>
      </c>
    </row>
    <row r="20" spans="2:21" x14ac:dyDescent="0.35">
      <c r="B20" s="137" t="s">
        <v>70</v>
      </c>
      <c r="C20" s="133"/>
      <c r="D20" s="139"/>
      <c r="E20" s="138">
        <f>IFERROR(IF(GETPIVOTDATA("Det är lugnt i klassrummet ",'Pivot Index'!$A$257,"År",2019)&gt;6,(GETPIVOTDATA("Det är lugnt i klassrummet ",'Pivot Index'!$Q$257,"År",2019)),""),"")</f>
        <v>7.5762337662337647</v>
      </c>
      <c r="F20" s="139"/>
      <c r="G20" s="139"/>
      <c r="H20" s="138">
        <f>IFERROR(IF(GETPIVOTDATA("Det är lugnt i klassrummet ",'Pivot Index'!$A$257,"År",2020)&gt;6,(GETPIVOTDATA("Det är lugnt i klassrummet ",'Pivot Index'!$Q$257,"År",2020)),""),"")</f>
        <v>6.4518279569892449</v>
      </c>
      <c r="I20" s="138"/>
      <c r="J20" s="139"/>
      <c r="K20" s="138">
        <f>IFERROR(IF(GETPIVOTDATA("Det är lugnt i klassrummet ",'Pivot Index'!$A$257,"År",2021)&gt;6,(GETPIVOTDATA("Det är lugnt i klassrummet ",'Pivot Index'!$Q$257,"År",2021)),""),"")</f>
        <v>6.8946590909090881</v>
      </c>
      <c r="L20" s="138"/>
      <c r="M20" s="139"/>
      <c r="N20" s="138">
        <f>IFERROR(IF(GETPIVOTDATA("Det är lugnt i klassrummet ",'Pivot Index'!$A$257,"År",2022)&gt;6,(GETPIVOTDATA("Det är lugnt i klassrummet ",'Pivot Index'!$Q$257,"År",2022)),""),"")</f>
        <v>6.9545161290322577</v>
      </c>
      <c r="O20" s="138"/>
      <c r="P20" s="139"/>
      <c r="Q20" s="138">
        <f>IFERROR(IF(GETPIVOTDATA("Det är lugnt i klassrummet ",'Pivot Index'!$A$257,"År",2023)&gt;6,(GETPIVOTDATA("Det är lugnt i klassrummet ",'Pivot Index'!$Q$257,"År",2023)),""),"")</f>
        <v>8.3188372093023233</v>
      </c>
      <c r="R20" s="138"/>
      <c r="S20" s="140">
        <v>8.1169565217391302</v>
      </c>
      <c r="T20" s="141">
        <v>8.5412068965517243</v>
      </c>
      <c r="U20" s="142">
        <v>8.3188372093023233</v>
      </c>
    </row>
    <row r="21" spans="2:21" ht="29" x14ac:dyDescent="0.35">
      <c r="B21" s="137" t="s">
        <v>137</v>
      </c>
      <c r="C21" s="133"/>
      <c r="D21" s="139"/>
      <c r="E21" s="138">
        <f>IFERROR(IF(GETPIVOTDATA("F22",'Pivot Index'!$A$41,"År",2019)&gt;6,(GETPIVOTDATA("F22",'Pivot Index'!$Q$41,"År",2019)),""),"")</f>
        <v>8.1734246575342464</v>
      </c>
      <c r="F21" s="139"/>
      <c r="G21" s="139"/>
      <c r="H21" s="138">
        <f>IFERROR(IF(GETPIVOTDATA("F22",'Pivot Index'!$A$41,"År",2020)&gt;6,(GETPIVOTDATA("F22",'Pivot Index'!$Q$41,"År",2020)),""),"")</f>
        <v>9.1304347826086953</v>
      </c>
      <c r="I21" s="138"/>
      <c r="J21" s="139"/>
      <c r="K21" s="138">
        <f>IFERROR(IF(GETPIVOTDATA("F22",'Pivot Index'!$A$41,"År",2021)&gt;6,(GETPIVOTDATA("F22",'Pivot Index'!$Q$41,"År",2021)),""),"")</f>
        <v>8.257386363636364</v>
      </c>
      <c r="L21" s="138"/>
      <c r="M21" s="139"/>
      <c r="N21" s="138">
        <f>IFERROR(IF(GETPIVOTDATA("F22",'Pivot Index'!$A$41,"År",2022)&gt;6,(GETPIVOTDATA("F22",'Pivot Index'!$Q$41,"År",2022)),""),"")</f>
        <v>8.4482954545454518</v>
      </c>
      <c r="O21" s="138"/>
      <c r="P21" s="139"/>
      <c r="Q21" s="138">
        <f>IFERROR(IF(GETPIVOTDATA("F22",'Pivot Index'!$A$41,"År",2023)&gt;6,(GETPIVOTDATA("F22",'Pivot Index'!$Q$41,"År",2023)),""),"")</f>
        <v>8.4289655172413784</v>
      </c>
      <c r="R21" s="138"/>
      <c r="S21" s="140">
        <v>8.0434782608695645</v>
      </c>
      <c r="T21" s="141">
        <v>8.7850847457627115</v>
      </c>
      <c r="U21" s="142">
        <v>8.4289655172413784</v>
      </c>
    </row>
    <row r="22" spans="2:21" ht="43.5" x14ac:dyDescent="0.35">
      <c r="B22" s="137" t="s">
        <v>138</v>
      </c>
      <c r="C22" s="133"/>
      <c r="D22" s="139"/>
      <c r="E22" s="138">
        <f>IFERROR(IF(GETPIVOTDATA("F23",'Pivot Index'!$A$53,"År",2019)&gt;6,(GETPIVOTDATA("F23",'Pivot Index'!$Q$53,"År",2019)),""),"")</f>
        <v>8.9176623376623372</v>
      </c>
      <c r="F22" s="139"/>
      <c r="G22" s="139"/>
      <c r="H22" s="138">
        <f>IFERROR(IF(GETPIVOTDATA("F23",'Pivot Index'!$A$53,"År",2020)&gt;6,(GETPIVOTDATA("F23",'Pivot Index'!$Q$53,"År",2020)),""),"")</f>
        <v>9.4202173913043481</v>
      </c>
      <c r="I22" s="138"/>
      <c r="J22" s="139"/>
      <c r="K22" s="138">
        <f>IFERROR(IF(GETPIVOTDATA("F23",'Pivot Index'!$A$53,"År",2021)&gt;6,(GETPIVOTDATA("F23",'Pivot Index'!$Q$53,"År",2021)),""),"")</f>
        <v>8.735517241379311</v>
      </c>
      <c r="L22" s="138"/>
      <c r="M22" s="139"/>
      <c r="N22" s="138">
        <f>IFERROR(IF(GETPIVOTDATA("F23",'Pivot Index'!$A$53,"År",2022)&gt;6,(GETPIVOTDATA("F23",'Pivot Index'!$Q$53,"År",2022)),""),"")</f>
        <v>8.6738709677419354</v>
      </c>
      <c r="O22" s="138"/>
      <c r="P22" s="139"/>
      <c r="Q22" s="138">
        <f>IFERROR(IF(GETPIVOTDATA("F23",'Pivot Index'!$A$53,"År",2023)&gt;6,(GETPIVOTDATA("F23",'Pivot Index'!$Q$53,"År",2023)),""),"")</f>
        <v>9.0997701149425296</v>
      </c>
      <c r="R22" s="138"/>
      <c r="S22" s="140">
        <v>8.6234782608695646</v>
      </c>
      <c r="T22" s="141">
        <v>9.2091525423728822</v>
      </c>
      <c r="U22" s="142">
        <v>9.0997701149425296</v>
      </c>
    </row>
    <row r="23" spans="2:21" x14ac:dyDescent="0.35">
      <c r="B23" s="137" t="s">
        <v>3</v>
      </c>
      <c r="C23" s="133"/>
      <c r="D23" s="139"/>
      <c r="E23" s="138" t="str">
        <f>IFERROR(IF(GETPIVOTDATA("F24",'Pivot Index'!$A$65,"År",2019)&gt;6,(GETPIVOTDATA("F23",'Pivot Index'!$Q$65,"År",2019)),""),"")</f>
        <v/>
      </c>
      <c r="F23" s="139"/>
      <c r="G23" s="139"/>
      <c r="H23" s="138" t="str">
        <f>IFERROR(IF(GETPIVOTDATA("F24",'Pivot Index'!$A$65,"År",2020)&gt;6,(GETPIVOTDATA("F23",'Pivot Index'!$Q$65,"År",2020)),""),"")</f>
        <v/>
      </c>
      <c r="I23" s="138"/>
      <c r="J23" s="139"/>
      <c r="K23" s="138">
        <f>IFERROR(IF(GETPIVOTDATA("F24",'Pivot Index'!$A$65,"År",2021)&gt;6,(GETPIVOTDATA("F24",'Pivot Index'!$Q$65,"År",2021)),""),"")</f>
        <v>8.3341304347826082</v>
      </c>
      <c r="L23" s="138"/>
      <c r="M23" s="139"/>
      <c r="N23" s="138">
        <f>IFERROR(IF(GETPIVOTDATA("F24",'Pivot Index'!$A$65,"År",2022)&gt;6,(GETPIVOTDATA("F24",'Pivot Index'!$Q$65,"År",2022)),""),"")</f>
        <v>8.8426315789473673</v>
      </c>
      <c r="O23" s="138"/>
      <c r="P23" s="139"/>
      <c r="Q23" s="138">
        <f>IFERROR(IF(GETPIVOTDATA("F24",'Pivot Index'!$A$65,"År",2023)&gt;6,(GETPIVOTDATA("F24",'Pivot Index'!$Q$65,"År",2023)),""),"")</f>
        <v>8.5833333333333339</v>
      </c>
      <c r="R23" s="138"/>
      <c r="S23" s="140">
        <v>8.2586363636363629</v>
      </c>
      <c r="T23" s="141">
        <v>8.8620000000000001</v>
      </c>
      <c r="U23" s="142">
        <v>8.5833333333333339</v>
      </c>
    </row>
    <row r="24" spans="2:21" ht="29" x14ac:dyDescent="0.35">
      <c r="B24" s="137" t="s">
        <v>71</v>
      </c>
      <c r="C24" s="133"/>
      <c r="D24" s="139"/>
      <c r="E24" s="138">
        <f>IFERROR(IF(GETPIVOTDATA("Jag vet vem på skolan jag kan prata med om någon varit elak ",'Pivot Index'!$A$269,"År",2019)&gt;6,(GETPIVOTDATA("Jag vet vem på skolan jag kan prata med om någon varit elak ",'Pivot Index'!$Q$269,"År",2019)),""),"")</f>
        <v>9.3865789473684202</v>
      </c>
      <c r="F24" s="139"/>
      <c r="G24" s="139"/>
      <c r="H24" s="138">
        <f>IFERROR(IF(GETPIVOTDATA("Jag vet vem på skolan jag kan prata med om någon varit elak ",'Pivot Index'!$A$269,"År",2020)&gt;6,(GETPIVOTDATA("Jag vet vem på skolan jag kan prata med om någon varit elak ",'Pivot Index'!$Q$269,"År",2020)),""),"")</f>
        <v>9.2967777777777787</v>
      </c>
      <c r="I24" s="138"/>
      <c r="J24" s="139"/>
      <c r="K24" s="138">
        <f>IFERROR(IF(GETPIVOTDATA("Jag vet vem på skolan jag kan prata med om någon varit elak ",'Pivot Index'!$A$269,"År",2021)&gt;6,(GETPIVOTDATA("Jag vet vem på skolan jag kan prata med om någon varit elak ",'Pivot Index'!$Q$269,"År",2021)),""),"")</f>
        <v>8.9589999999999996</v>
      </c>
      <c r="L24" s="138"/>
      <c r="M24" s="139"/>
      <c r="N24" s="138">
        <f>IFERROR(IF(GETPIVOTDATA("Jag vet vem på skolan jag kan prata med om någon varit elak ",'Pivot Index'!$A$269,"År",2022)&gt;6,(GETPIVOTDATA("Jag vet vem på skolan jag kan prata med om någon varit elak ",'Pivot Index'!$Q$269,"År",2022)),""),"")</f>
        <v>9.2138202247191021</v>
      </c>
      <c r="O24" s="138"/>
      <c r="P24" s="139"/>
      <c r="Q24" s="138">
        <f>IFERROR(IF(GETPIVOTDATA("Jag vet vem på skolan jag kan prata med om någon varit elak ",'Pivot Index'!$A$269,"År",2023)&gt;6,(GETPIVOTDATA("Jag vet vem på skolan jag kan prata med om någon varit elak ",'Pivot Index'!$Q$269,"År",2023)),""),"")</f>
        <v>7.8050588235294125</v>
      </c>
      <c r="R24" s="138"/>
      <c r="S24" s="140">
        <v>8.5723809523809535</v>
      </c>
      <c r="T24" s="141">
        <v>7.6849152542372865</v>
      </c>
      <c r="U24" s="142">
        <v>7.8050588235294125</v>
      </c>
    </row>
    <row r="25" spans="2:21" ht="43.5" x14ac:dyDescent="0.35">
      <c r="B25" s="137" t="s">
        <v>28</v>
      </c>
      <c r="C25" s="133"/>
      <c r="D25" s="139"/>
      <c r="E25" s="138">
        <f>IFERROR(IF(GETPIVOTDATA("F27",'Pivot Index'!$A$77,"År",2019)&gt;6,(GETPIVOTDATA("F27",'Pivot Index'!$Q$77,"År",2019)),""),"")</f>
        <v>9.2760869565217376</v>
      </c>
      <c r="F25" s="139"/>
      <c r="G25" s="139"/>
      <c r="H25" s="138">
        <f>IFERROR(IF(GETPIVOTDATA("F27",'Pivot Index'!$A$77,"År",2020)&gt;6,(GETPIVOTDATA("F27",'Pivot Index'!$Q$77,"År",2020)),""),"")</f>
        <v>9.3412087912087909</v>
      </c>
      <c r="I25" s="138"/>
      <c r="J25" s="139"/>
      <c r="K25" s="138">
        <f>IFERROR(IF(GETPIVOTDATA("F27",'Pivot Index'!$A$77,"År",2021)&gt;6,(GETPIVOTDATA("F27",'Pivot Index'!$Q$77,"År",2021)),""),"")</f>
        <v>9.091477272727273</v>
      </c>
      <c r="L25" s="138"/>
      <c r="M25" s="139"/>
      <c r="N25" s="138">
        <f>IFERROR(IF(GETPIVOTDATA("F27",'Pivot Index'!$A$77,"År",2022)&gt;6,(GETPIVOTDATA("F27",'Pivot Index'!$Q$77,"År",2022)),""),"")</f>
        <v>9.3264044943820217</v>
      </c>
      <c r="O25" s="138"/>
      <c r="P25" s="139"/>
      <c r="Q25" s="138">
        <f>IFERROR(IF(GETPIVOTDATA("F27",'Pivot Index'!$A$77,"År",2023)&gt;6,(GETPIVOTDATA("F27",'Pivot Index'!$Q$77,"År",2023)),""),"")</f>
        <v>9.0250617283950607</v>
      </c>
      <c r="R25" s="138"/>
      <c r="S25" s="140">
        <v>8.7780952380952382</v>
      </c>
      <c r="T25" s="141">
        <v>9.2125454545454541</v>
      </c>
      <c r="U25" s="142">
        <v>9.0250617283950607</v>
      </c>
    </row>
    <row r="26" spans="2:21" ht="43.5" x14ac:dyDescent="0.35">
      <c r="B26" s="137" t="s">
        <v>72</v>
      </c>
      <c r="C26" s="133"/>
      <c r="D26" s="139"/>
      <c r="E26" s="138">
        <f>IFERROR(IF(GETPIVOTDATA("Maten på min skola är bra, sett till näringsinnehåll, utseende, smak och klimat- och miljöperspektiv",'Pivot Index'!$A$280,"År",2019)&gt;6,(GETPIVOTDATA("Maten på min skola är bra, sett till näringsinnehåll, utseende, smak och klimat- och miljöperspektiv",'Pivot Index'!$Q$280,"År",2019)),""),"")</f>
        <v>7.9392105263157875</v>
      </c>
      <c r="F26" s="139"/>
      <c r="G26" s="139"/>
      <c r="H26" s="138">
        <f>IFERROR(IF(GETPIVOTDATA("Maten på min skola är bra, sett till näringsinnehåll, utseende, smak och klimat- och miljöperspektiv",'Pivot Index'!$A$280,"År",2020)&gt;6,(GETPIVOTDATA("Maten på min skola är bra, sett till näringsinnehåll, utseende, smak och klimat- och miljöperspektiv",'Pivot Index'!$Q$280,"År",2020)),""),"")</f>
        <v>7.2357954545454524</v>
      </c>
      <c r="I26" s="138"/>
      <c r="J26" s="139"/>
      <c r="K26" s="138">
        <f>IFERROR(IF(GETPIVOTDATA("Maten på min skola är bra, sett till näringsinnehåll, utseende, smak och klimat- och miljöperspektiv",'Pivot Index'!$A$280,"År",2021)&gt;6,(GETPIVOTDATA("Maten på min skola är bra, sett till näringsinnehåll, utseende, smak och klimat- och miljöperspektiv",'Pivot Index'!$Q$280,"År",2021)),""),"")</f>
        <v>7.0601176470588207</v>
      </c>
      <c r="L26" s="138"/>
      <c r="M26" s="139"/>
      <c r="N26" s="138">
        <f>IFERROR(IF(GETPIVOTDATA("Maten på min skola är bra, sett till näringsinnehåll, utseende, smak och klimat- och miljöperspektiv",'Pivot Index'!$A$280,"År",2022)&gt;6,(GETPIVOTDATA("Maten på min skola är bra, sett till näringsinnehåll, utseende, smak och klimat- och miljöperspektiv",'Pivot Index'!$Q$280,"År",2022)),""),"")</f>
        <v>7.1437362637362618</v>
      </c>
      <c r="O26" s="138"/>
      <c r="P26" s="139"/>
      <c r="Q26" s="138">
        <f>IFERROR(IF(GETPIVOTDATA("Maten på min skola är bra, sett till näringsinnehåll, utseende, smak och klimat- och miljöperspektiv",'Pivot Index'!$A$280,"År",2023)&gt;6,(GETPIVOTDATA("Maten på min skola är bra, sett till näringsinnehåll, utseende, smak och klimat- och miljöperspektiv",'Pivot Index'!$Q$280,"År",2023)),""),"")</f>
        <v>8.2475342465753414</v>
      </c>
      <c r="R26" s="138"/>
      <c r="S26" s="140">
        <v>8.8894444444444431</v>
      </c>
      <c r="T26" s="141">
        <v>8.1449019607843134</v>
      </c>
      <c r="U26" s="142">
        <v>8.2475342465753414</v>
      </c>
    </row>
    <row r="27" spans="2:21" x14ac:dyDescent="0.35">
      <c r="B27" s="137" t="s">
        <v>62</v>
      </c>
      <c r="C27" s="133"/>
      <c r="D27" s="139"/>
      <c r="E27" s="138">
        <f>IFERROR(IF(GETPIVOTDATA("Jag väljer att äta mig mätt i skolan",'Pivot Index'!$A$292,"År",2019)&gt;6,(GETPIVOTDATA("Jag väljer att äta mig mätt i skolan",'Pivot Index'!$Q$292,"År",2019)),""),"")</f>
        <v>8.5051282051282051</v>
      </c>
      <c r="F27" s="139"/>
      <c r="G27" s="139"/>
      <c r="H27" s="138">
        <f>IFERROR(IF(GETPIVOTDATA("Jag väljer att äta mig mätt i skolan",'Pivot Index'!$A$292,"År",2020)&gt;6,(GETPIVOTDATA("Jag väljer att äta mig mätt i skolan",'Pivot Index'!$Q$292,"År",2020)),""),"")</f>
        <v>8.18611111111111</v>
      </c>
      <c r="I27" s="138"/>
      <c r="J27" s="139"/>
      <c r="K27" s="138">
        <f>IFERROR(IF(GETPIVOTDATA("Jag väljer att äta mig mätt i skolan",'Pivot Index'!$A$292,"År",2021)&gt;6,(GETPIVOTDATA("Jag väljer att äta mig mätt i skolan",'Pivot Index'!$Q$292,"År",2021)),""),"")</f>
        <v>7.883058823529411</v>
      </c>
      <c r="L27" s="138"/>
      <c r="M27" s="139"/>
      <c r="N27" s="138">
        <f>IFERROR(IF(GETPIVOTDATA("Jag väljer att äta mig mätt i skolan",'Pivot Index'!$A$292,"År",2022)&gt;6,(GETPIVOTDATA("Jag väljer att äta mig mätt i skolan",'Pivot Index'!$Q$292,"År",2022)),""),"")</f>
        <v>8.3163157894736841</v>
      </c>
      <c r="O27" s="138"/>
      <c r="P27" s="139"/>
      <c r="Q27" s="138">
        <f>IFERROR(IF(GETPIVOTDATA("Jag väljer att äta mig mätt i skolan",'Pivot Index'!$A$292,"År",2023)&gt;6,(GETPIVOTDATA("Jag väljer att äta mig mätt i skolan",'Pivot Index'!$Q$292,"År",2023)),""),"")</f>
        <v>9.2159999999999993</v>
      </c>
      <c r="R27" s="138"/>
      <c r="S27" s="140">
        <v>9.5238095238095237</v>
      </c>
      <c r="T27" s="141">
        <v>9.2659322033898306</v>
      </c>
      <c r="U27" s="142">
        <v>9.2159999999999993</v>
      </c>
    </row>
    <row r="28" spans="2:21" ht="29" x14ac:dyDescent="0.35">
      <c r="B28" s="137" t="s">
        <v>118</v>
      </c>
      <c r="C28" s="133"/>
      <c r="D28" s="139"/>
      <c r="E28" s="138">
        <f>IFERROR(IF(GETPIVOTDATA("Skolrestaurangen har en miljö som är trivsam att vara i ",'Pivot Index'!$A$304,"År",2019)&gt;6,(GETPIVOTDATA("Skolrestaurangen har en miljö som är trivsam att vara i ",'Pivot Index'!$Q$304,"År",2019)),""),"")</f>
        <v>8.8042307692307702</v>
      </c>
      <c r="F28" s="139"/>
      <c r="G28" s="139"/>
      <c r="H28" s="138">
        <f>IFERROR(IF(GETPIVOTDATA("Skolrestaurangen har en miljö som är trivsam att vara i ",'Pivot Index'!$A$304,"År",2020)&gt;6,(GETPIVOTDATA("Skolrestaurangen har en miljö som är trivsam att vara i ",'Pivot Index'!$Q$304,"År",2020)),""),"")</f>
        <v>8.1234482758620672</v>
      </c>
      <c r="I28" s="138"/>
      <c r="J28" s="139"/>
      <c r="K28" s="138">
        <f>IFERROR(IF(GETPIVOTDATA("Skolrestaurangen har en miljö som är trivsam att vara i ",'Pivot Index'!$A$304,"År",2021)&gt;6,(GETPIVOTDATA("Skolrestaurangen har en miljö som är trivsam att vara i ",'Pivot Index'!$Q$304,"År",2021)),""),"")</f>
        <v>8.101627906976745</v>
      </c>
      <c r="L28" s="138"/>
      <c r="M28" s="139"/>
      <c r="N28" s="138">
        <f>IFERROR(IF(GETPIVOTDATA("Skolrestaurangen har en miljö som är trivsam att vara i ",'Pivot Index'!$A$304,"År",2022)&gt;6,(GETPIVOTDATA("Skolrestaurangen har en miljö som är trivsam att vara i ",'Pivot Index'!$Q$304,"År",2022)),""),"")</f>
        <v>8.2945238095238079</v>
      </c>
      <c r="O28" s="138"/>
      <c r="P28" s="139"/>
      <c r="Q28" s="138">
        <f>IFERROR(IF(GETPIVOTDATA("Skolrestaurangen har en miljö som är trivsam att vara i ",'Pivot Index'!$A$304,"År",2023)&gt;6,(GETPIVOTDATA("Skolrestaurangen har en miljö som är trivsam att vara i ",'Pivot Index'!$Q$304,"År",2023)),""),"")</f>
        <v>7.7253488372093013</v>
      </c>
      <c r="R28" s="138"/>
      <c r="S28" s="140">
        <v>7.1452173913043477</v>
      </c>
      <c r="T28" s="141">
        <v>7.9315517241379307</v>
      </c>
      <c r="U28" s="142">
        <v>7.7253488372093013</v>
      </c>
    </row>
    <row r="29" spans="2:21" ht="29" x14ac:dyDescent="0.35">
      <c r="B29" s="137" t="s">
        <v>75</v>
      </c>
      <c r="C29" s="133"/>
      <c r="D29" s="139"/>
      <c r="E29" s="138">
        <f>IFERROR(IF(GETPIVOTDATA("De som jobbar i skolrestaurangen är trevliga och serviceinriktade",'Pivot Index'!$A$316,"År",2019)&gt;6,(GETPIVOTDATA("De som jobbar i skolrestaurangen är trevliga och serviceinriktade",'Pivot Index'!$Q$316,"År",2019)),""),"")</f>
        <v>7.4031168831168808</v>
      </c>
      <c r="F29" s="139"/>
      <c r="G29" s="139"/>
      <c r="H29" s="138">
        <f>IFERROR(IF(GETPIVOTDATA("De som jobbar i skolrestaurangen är trevliga och serviceinriktade",'Pivot Index'!$A$316,"År",2020)&gt;6,(GETPIVOTDATA("De som jobbar i skolrestaurangen är trevliga och serviceinriktade",'Pivot Index'!$Q$316,"År",2020)),""),"")</f>
        <v>9.1378823529411761</v>
      </c>
      <c r="I29" s="138"/>
      <c r="J29" s="139"/>
      <c r="K29" s="138">
        <f>IFERROR(IF(GETPIVOTDATA("De som jobbar i skolrestaurangen är trevliga och serviceinriktade",'Pivot Index'!$A$316,"År",2021)&gt;6,(GETPIVOTDATA("De som jobbar i skolrestaurangen är trevliga och serviceinriktade",'Pivot Index'!$Q$316,"År",2021)),""),"")</f>
        <v>8.75075</v>
      </c>
      <c r="L29" s="138"/>
      <c r="M29" s="139"/>
      <c r="N29" s="138">
        <f>IFERROR(IF(GETPIVOTDATA("De som jobbar i skolrestaurangen är trevliga och serviceinriktade",'Pivot Index'!$A$316,"År",2022)&gt;6,(GETPIVOTDATA("De som jobbar i skolrestaurangen är trevliga och serviceinriktade",'Pivot Index'!$Q$316,"År",2022)),""),"")</f>
        <v>8.730714285714285</v>
      </c>
      <c r="O29" s="138"/>
      <c r="P29" s="139"/>
      <c r="Q29" s="138">
        <f>IFERROR(IF(GETPIVOTDATA("De som jobbar i skolrestaurangen är trevliga och serviceinriktade",'Pivot Index'!$A$316,"År",2023)&gt;6,(GETPIVOTDATA("De som jobbar i skolrestaurangen är trevliga och serviceinriktade",'Pivot Index'!$Q$316,"År",2023)),""),"")</f>
        <v>8.9563855421686753</v>
      </c>
      <c r="R29" s="138"/>
      <c r="S29" s="140">
        <v>9.0480952380952377</v>
      </c>
      <c r="T29" s="141">
        <v>8.9478947368421053</v>
      </c>
      <c r="U29" s="142">
        <v>8.9563855421686753</v>
      </c>
    </row>
    <row r="30" spans="2:21" x14ac:dyDescent="0.35">
      <c r="B30" s="137" t="s">
        <v>60</v>
      </c>
      <c r="C30" s="133"/>
      <c r="D30" s="139"/>
      <c r="E30" s="138">
        <f>IFERROR(IF(GETPIVOTDATA("Toaletterna är rena och fina",'Pivot Index'!$A$328,"År",2019)&gt;6,(GETPIVOTDATA("Toaletterna är rena och fina",'Pivot Index'!$Q$328,"År",2019)),""),"")</f>
        <v>9.0692647058823539</v>
      </c>
      <c r="F30" s="139"/>
      <c r="G30" s="139"/>
      <c r="H30" s="138">
        <f>IFERROR(IF(GETPIVOTDATA("Toaletterna är rena och fina",'Pivot Index'!$A$328,"År",2020)&gt;6,(GETPIVOTDATA("Toaletterna är rena och fina",'Pivot Index'!$Q$328,"År",2020)),""),"")</f>
        <v>5.8721590909090899</v>
      </c>
      <c r="I30" s="138"/>
      <c r="J30" s="139"/>
      <c r="K30" s="138">
        <f>IFERROR(IF(GETPIVOTDATA("Toaletterna är rena och fina",'Pivot Index'!$A$328,"År",2021)&gt;6,(GETPIVOTDATA("Toaletterna är rena och fina",'Pivot Index'!$Q$328,"År",2021)),""),"")</f>
        <v>6.1240217391304332</v>
      </c>
      <c r="L30" s="138"/>
      <c r="M30" s="139"/>
      <c r="N30" s="138">
        <f>IFERROR(IF(GETPIVOTDATA("Toaletterna är rena och fina",'Pivot Index'!$A$328,"År",2022)&gt;6,(GETPIVOTDATA("Toaletterna är rena och fina",'Pivot Index'!$Q$328,"År",2022)),""),"")</f>
        <v>6.1351063829787211</v>
      </c>
      <c r="O30" s="138"/>
      <c r="P30" s="139"/>
      <c r="Q30" s="138">
        <f>IFERROR(IF(GETPIVOTDATA("Toaletterna är rena och fina",'Pivot Index'!$A$328,"År",2023)&gt;6,(GETPIVOTDATA("Toaletterna är rena och fina",'Pivot Index'!$Q$328,"År",2023)),""),"")</f>
        <v>7.1192105263157872</v>
      </c>
      <c r="R30" s="138"/>
      <c r="S30" s="140">
        <v>6.8426315789473682</v>
      </c>
      <c r="T30" s="141">
        <v>7.1894339622641503</v>
      </c>
      <c r="U30" s="142">
        <v>7.1192105263157872</v>
      </c>
    </row>
    <row r="31" spans="2:21" ht="29" x14ac:dyDescent="0.35">
      <c r="B31" s="137" t="s">
        <v>119</v>
      </c>
      <c r="C31" s="133"/>
      <c r="D31" s="139"/>
      <c r="E31" s="138">
        <f>IFERROR(IF(GETPIVOTDATA("Jag får veta vad man kan göra efter studenten ",'Pivot Index'!$A$340,"År",2019)&gt;6,(GETPIVOTDATA("Jag får veta vad man kan göra efter studenten ",'Pivot Index'!$Q$340,"År",2019)),""),"")</f>
        <v>8.4088059701492543</v>
      </c>
      <c r="F31" s="139"/>
      <c r="G31" s="139"/>
      <c r="H31" s="138">
        <f>IFERROR(IF(GETPIVOTDATA("Jag får veta vad man kan göra efter studenten ",'Pivot Index'!$A$340,"År",2020)&gt;6,(GETPIVOTDATA("Jag får veta vad man kan göra efter studenten ",'Pivot Index'!$Q$340,"År",2020)),""),"")</f>
        <v>7.9023456790123445</v>
      </c>
      <c r="I31" s="138"/>
      <c r="J31" s="139"/>
      <c r="K31" s="138">
        <f>IFERROR(IF(GETPIVOTDATA("Jag får veta vad man kan göra efter studenten ",'Pivot Index'!$A$340,"År",2021)&gt;6,(GETPIVOTDATA("Jag får veta vad man kan göra efter studenten ",'Pivot Index'!$Q$340,"År",2021)),""),"")</f>
        <v>7.7307246376811571</v>
      </c>
      <c r="L31" s="138"/>
      <c r="M31" s="139"/>
      <c r="N31" s="138">
        <f>IFERROR(IF(GETPIVOTDATA("Jag får veta vad man kan göra efter studenten ",'Pivot Index'!$A$340,"År",2022)&gt;6,(GETPIVOTDATA("Jag får veta vad man kan göra efter studenten ",'Pivot Index'!$Q$340,"År",2022)),""),"")</f>
        <v>7.6633766233766227</v>
      </c>
      <c r="O31" s="138"/>
      <c r="P31" s="139"/>
      <c r="Q31" s="138">
        <f>IFERROR(IF(GETPIVOTDATA("Jag får veta vad man kan göra efter studenten ",'Pivot Index'!$A$340,"År",2023)&gt;6,(GETPIVOTDATA("Jag får veta vad man kan göra efter studenten ",'Pivot Index'!$Q$340,"År",2023)),""),"")</f>
        <v>7.9769047619047608</v>
      </c>
      <c r="R31" s="138"/>
      <c r="S31" s="140">
        <v>7.7281818181818185</v>
      </c>
      <c r="T31" s="141">
        <v>8.1878947368421056</v>
      </c>
      <c r="U31" s="142">
        <v>7.9769047619047608</v>
      </c>
    </row>
    <row r="32" spans="2:21" x14ac:dyDescent="0.35">
      <c r="B32" s="137" t="s">
        <v>29</v>
      </c>
      <c r="C32" s="133"/>
      <c r="D32" s="139"/>
      <c r="E32" s="138">
        <f>IFERROR(IF(GETPIVOTDATA("F34",'Pivot Index'!$A$89,"År",2019)&gt;6,(GETPIVOTDATA("F34",'Pivot Index'!$Q$89,"År",2019)),""),"")</f>
        <v>8.7765822784810137</v>
      </c>
      <c r="F32" s="139"/>
      <c r="G32" s="139"/>
      <c r="H32" s="138">
        <f>IFERROR(IF(GETPIVOTDATA("F34",'Pivot Index'!$A$89,"År",2020)&gt;6,(GETPIVOTDATA("F34",'Pivot Index'!$Q$89,"År",2020)),""),"")</f>
        <v>8.5112765957446808</v>
      </c>
      <c r="I32" s="138"/>
      <c r="J32" s="139"/>
      <c r="K32" s="138">
        <f>IFERROR(IF(GETPIVOTDATA("F34",'Pivot Index'!$A$89,"År",2021)&gt;6,(GETPIVOTDATA("F34",'Pivot Index'!$Q$89,"År",2021)),""),"")</f>
        <v>8.4256043956043953</v>
      </c>
      <c r="L32" s="138"/>
      <c r="M32" s="139"/>
      <c r="N32" s="138">
        <f>IFERROR(IF(GETPIVOTDATA("F34",'Pivot Index'!$A$89,"År",2022)&gt;6,(GETPIVOTDATA("F34",'Pivot Index'!$Q$89,"År",2022)),""),"")</f>
        <v>8.9859782608695653</v>
      </c>
      <c r="O32" s="138"/>
      <c r="P32" s="139"/>
      <c r="Q32" s="138">
        <f>IFERROR(IF(GETPIVOTDATA("F34",'Pivot Index'!$A$89,"År",2023)&gt;6,(GETPIVOTDATA("F34",'Pivot Index'!$Q$89,"År",2023)),""),"")</f>
        <v>8.4867469879518076</v>
      </c>
      <c r="R32" s="138"/>
      <c r="S32" s="140">
        <v>8.7314285714285713</v>
      </c>
      <c r="T32" s="141">
        <v>8.6147368421052644</v>
      </c>
      <c r="U32" s="142">
        <v>8.4867469879518076</v>
      </c>
    </row>
    <row r="33" spans="2:21" x14ac:dyDescent="0.35">
      <c r="B33" s="137" t="s">
        <v>44</v>
      </c>
      <c r="C33" s="133"/>
      <c r="D33" s="139"/>
      <c r="E33" s="138">
        <f>IFERROR(IF(GETPIVOTDATA("F35",'Pivot Index'!$A$101,"År",2019)&gt;6,(GETPIVOTDATA("F35",'Pivot Index'!$Q$101,"År",2019)),""),"")</f>
        <v>8.6769117647058813</v>
      </c>
      <c r="F33" s="139"/>
      <c r="G33" s="139"/>
      <c r="H33" s="138">
        <f>IFERROR(IF(GETPIVOTDATA("F35",'Pivot Index'!$A$101,"År",2020)&gt;6,(GETPIVOTDATA("F35",'Pivot Index'!$Q$101,"År",2020)),""),"")</f>
        <v>7.8302325581395342</v>
      </c>
      <c r="I33" s="138"/>
      <c r="J33" s="139"/>
      <c r="K33" s="138">
        <f>IFERROR(IF(GETPIVOTDATA("F35",'Pivot Index'!$A$101,"År",2021)&gt;6,(GETPIVOTDATA("F35",'Pivot Index'!$Q$101,"År",2021)),""),"")</f>
        <v>7.9371428571428577</v>
      </c>
      <c r="L33" s="138"/>
      <c r="M33" s="139"/>
      <c r="N33" s="138">
        <f>IFERROR(IF(GETPIVOTDATA("F35",'Pivot Index'!$A$101,"År",2022)&gt;6,(GETPIVOTDATA("F35",'Pivot Index'!$Q$101,"År",2022)),""),"")</f>
        <v>7.9522891566265059</v>
      </c>
      <c r="O33" s="138"/>
      <c r="P33" s="139"/>
      <c r="Q33" s="138">
        <f>IFERROR(IF(GETPIVOTDATA("F35",'Pivot Index'!$A$101,"År",2023)&gt;6,(GETPIVOTDATA("F35",'Pivot Index'!$Q$101,"År",2023)),""),"")</f>
        <v>7.8486075949367082</v>
      </c>
      <c r="R33" s="138"/>
      <c r="S33" s="143">
        <v>6.9847619047619052</v>
      </c>
      <c r="T33" s="144">
        <v>8.1821818181818173</v>
      </c>
      <c r="U33" s="145">
        <v>7.8486075949367082</v>
      </c>
    </row>
  </sheetData>
  <sheetProtection algorithmName="SHA-512" hashValue="kRKm8DcMSV5m5GmixP24079KkFiVd5ikKujh72zUkuB00T5Fk4RXbaPc4Q+QAWkXk/FYbeu+041bQpQi57hiGg==" saltValue="eBus1xkd7GpDhutjV5hlGA==" spinCount="100000" sheet="1" objects="1" scenarios="1" sort="0" autoFilter="0" pivotTables="0"/>
  <mergeCells count="11">
    <mergeCell ref="P5:R5"/>
    <mergeCell ref="P4:R4"/>
    <mergeCell ref="S4:U4"/>
    <mergeCell ref="G5:I5"/>
    <mergeCell ref="D5:F5"/>
    <mergeCell ref="J4:L4"/>
    <mergeCell ref="J5:L5"/>
    <mergeCell ref="M4:O4"/>
    <mergeCell ref="M5:O5"/>
    <mergeCell ref="G4:I4"/>
    <mergeCell ref="D4:F4"/>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E16"/>
  <sheetViews>
    <sheetView showGridLines="0" showRowColHeaders="0" workbookViewId="0">
      <selection activeCell="I49" sqref="I49"/>
    </sheetView>
  </sheetViews>
  <sheetFormatPr defaultColWidth="9.1796875" defaultRowHeight="14.5" x14ac:dyDescent="0.35"/>
  <cols>
    <col min="1" max="1" width="3.54296875" style="65" customWidth="1"/>
    <col min="2" max="2" width="27.81640625" style="65" bestFit="1" customWidth="1"/>
    <col min="3" max="4" width="11" style="67" customWidth="1"/>
    <col min="5" max="5" width="13.54296875" style="67" bestFit="1" customWidth="1"/>
    <col min="6" max="16384" width="9.1796875" style="65"/>
  </cols>
  <sheetData>
    <row r="2" spans="2:5" x14ac:dyDescent="0.35">
      <c r="E2" s="95"/>
    </row>
    <row r="3" spans="2:5" ht="26" x14ac:dyDescent="0.35">
      <c r="B3" s="126" t="s">
        <v>15</v>
      </c>
      <c r="C3" s="127" t="s">
        <v>16</v>
      </c>
      <c r="D3" s="127" t="s">
        <v>13</v>
      </c>
      <c r="E3" s="128" t="s">
        <v>14</v>
      </c>
    </row>
    <row r="4" spans="2:5" ht="18.5" customHeight="1" x14ac:dyDescent="0.35">
      <c r="B4" s="66" t="s">
        <v>143</v>
      </c>
      <c r="C4" s="176">
        <v>43</v>
      </c>
      <c r="D4" s="67">
        <v>14</v>
      </c>
      <c r="E4" s="97">
        <f>D4/C4</f>
        <v>0.32558139534883723</v>
      </c>
    </row>
    <row r="5" spans="2:5" x14ac:dyDescent="0.35">
      <c r="B5" s="66" t="s">
        <v>19</v>
      </c>
      <c r="C5" s="176">
        <v>25</v>
      </c>
      <c r="D5" s="67">
        <v>18</v>
      </c>
      <c r="E5" s="97">
        <f t="shared" ref="E5:E8" si="0">D5/C5</f>
        <v>0.72</v>
      </c>
    </row>
    <row r="6" spans="2:5" x14ac:dyDescent="0.35">
      <c r="B6" s="66" t="s">
        <v>144</v>
      </c>
      <c r="C6" s="176">
        <v>14</v>
      </c>
      <c r="D6" s="67">
        <v>10</v>
      </c>
      <c r="E6" s="97">
        <f t="shared" si="0"/>
        <v>0.7142857142857143</v>
      </c>
    </row>
    <row r="7" spans="2:5" x14ac:dyDescent="0.35">
      <c r="B7" s="66" t="s">
        <v>145</v>
      </c>
      <c r="C7" s="176">
        <v>60</v>
      </c>
      <c r="D7" s="67">
        <v>43</v>
      </c>
      <c r="E7" s="97">
        <f t="shared" si="0"/>
        <v>0.71666666666666667</v>
      </c>
    </row>
    <row r="8" spans="2:5" x14ac:dyDescent="0.35">
      <c r="B8" s="66" t="s">
        <v>146</v>
      </c>
      <c r="C8" s="176">
        <v>5</v>
      </c>
      <c r="D8" s="176">
        <v>4</v>
      </c>
      <c r="E8" s="97">
        <f t="shared" si="0"/>
        <v>0.8</v>
      </c>
    </row>
    <row r="9" spans="2:5" x14ac:dyDescent="0.35">
      <c r="B9" s="68" t="s">
        <v>124</v>
      </c>
      <c r="C9" s="69">
        <f>SUM(C4:C8)</f>
        <v>147</v>
      </c>
      <c r="D9" s="69">
        <f>SUM(D4:D8)</f>
        <v>89</v>
      </c>
      <c r="E9" s="70">
        <f>D9/C9</f>
        <v>0.60544217687074831</v>
      </c>
    </row>
    <row r="10" spans="2:5" x14ac:dyDescent="0.35">
      <c r="B10" s="98"/>
      <c r="C10" s="98"/>
    </row>
    <row r="11" spans="2:5" x14ac:dyDescent="0.35">
      <c r="B11" s="98"/>
      <c r="C11" s="98"/>
    </row>
    <row r="12" spans="2:5" x14ac:dyDescent="0.35">
      <c r="B12" s="98"/>
      <c r="C12" s="98"/>
    </row>
    <row r="13" spans="2:5" x14ac:dyDescent="0.35">
      <c r="B13" s="98"/>
      <c r="C13" s="98"/>
    </row>
    <row r="14" spans="2:5" x14ac:dyDescent="0.35">
      <c r="B14" s="98"/>
      <c r="C14" s="98"/>
    </row>
    <row r="15" spans="2:5" x14ac:dyDescent="0.35">
      <c r="B15" s="98"/>
      <c r="C15" s="98"/>
    </row>
    <row r="16" spans="2:5" x14ac:dyDescent="0.35">
      <c r="B16" s="98"/>
      <c r="C16" s="98"/>
    </row>
  </sheetData>
  <sheetProtection algorithmName="SHA-512" hashValue="MEKQ+bosEc2/ldrCetC7KiD4VVyqvi8SqkxJLSQ0Gjpb2svqoCOxeThXQglP+R8V9xat1GirqbhHQcfTgn+4pg==" saltValue="JdXAVM1twdgE9cMOyR60ww==" spinCount="100000"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I378"/>
  <sheetViews>
    <sheetView topLeftCell="A331" workbookViewId="0">
      <selection activeCell="H341" sqref="H341"/>
    </sheetView>
  </sheetViews>
  <sheetFormatPr defaultRowHeight="14.5" x14ac:dyDescent="0.35"/>
  <cols>
    <col min="1" max="1" width="29.6328125" bestFit="1" customWidth="1"/>
    <col min="2" max="6" width="4.81640625" bestFit="1" customWidth="1"/>
    <col min="7" max="7" width="4.81640625" customWidth="1"/>
    <col min="8" max="8" width="11.26953125" bestFit="1" customWidth="1"/>
    <col min="9" max="9" width="29.6328125" bestFit="1" customWidth="1"/>
    <col min="10" max="14" width="5.26953125" bestFit="1" customWidth="1"/>
    <col min="15" max="15" width="11.81640625" bestFit="1" customWidth="1"/>
    <col min="16" max="16" width="30.453125" bestFit="1" customWidth="1"/>
    <col min="17" max="18" width="4.81640625" bestFit="1" customWidth="1"/>
    <col min="19" max="21" width="11.81640625" bestFit="1" customWidth="1"/>
    <col min="22" max="22" width="17.6328125" bestFit="1" customWidth="1"/>
    <col min="23" max="27" width="4.81640625" bestFit="1" customWidth="1"/>
    <col min="28" max="29" width="4.81640625" customWidth="1"/>
    <col min="30" max="30" width="19.6328125" bestFit="1" customWidth="1"/>
    <col min="31" max="35" width="4.81640625" bestFit="1" customWidth="1"/>
  </cols>
  <sheetData>
    <row r="1" spans="1:35" x14ac:dyDescent="0.35">
      <c r="R1" s="1" t="s">
        <v>21</v>
      </c>
      <c r="S1" t="s">
        <v>42</v>
      </c>
      <c r="V1" s="1" t="s">
        <v>120</v>
      </c>
      <c r="W1" s="1" t="s">
        <v>23</v>
      </c>
      <c r="AD1" s="100" t="s">
        <v>125</v>
      </c>
    </row>
    <row r="2" spans="1:35" x14ac:dyDescent="0.35">
      <c r="A2" s="84"/>
      <c r="P2" s="3"/>
      <c r="R2" s="1" t="s">
        <v>0</v>
      </c>
      <c r="S2" s="2">
        <v>2023</v>
      </c>
      <c r="T2" s="2"/>
      <c r="V2" s="1" t="s">
        <v>17</v>
      </c>
      <c r="W2">
        <v>2019</v>
      </c>
      <c r="X2">
        <v>2020</v>
      </c>
      <c r="Y2">
        <v>2021</v>
      </c>
      <c r="Z2">
        <v>2022</v>
      </c>
      <c r="AA2">
        <v>2023</v>
      </c>
    </row>
    <row r="3" spans="1:35" x14ac:dyDescent="0.35">
      <c r="P3" s="3"/>
      <c r="V3" s="2" t="s">
        <v>121</v>
      </c>
      <c r="W3">
        <v>37</v>
      </c>
      <c r="X3">
        <v>48</v>
      </c>
      <c r="Y3">
        <v>36</v>
      </c>
      <c r="Z3">
        <v>32</v>
      </c>
      <c r="AA3">
        <v>24</v>
      </c>
      <c r="AD3" s="1" t="s">
        <v>22</v>
      </c>
      <c r="AE3" s="1" t="s">
        <v>23</v>
      </c>
    </row>
    <row r="4" spans="1:35" x14ac:dyDescent="0.35">
      <c r="P4" s="3"/>
      <c r="R4" t="s">
        <v>22</v>
      </c>
      <c r="V4" s="2" t="s">
        <v>122</v>
      </c>
      <c r="W4">
        <v>42</v>
      </c>
      <c r="X4">
        <v>47</v>
      </c>
      <c r="Y4">
        <v>58</v>
      </c>
      <c r="Z4">
        <v>66</v>
      </c>
      <c r="AA4">
        <v>60</v>
      </c>
      <c r="AD4" s="1" t="s">
        <v>17</v>
      </c>
      <c r="AE4">
        <v>2019</v>
      </c>
      <c r="AF4">
        <v>2020</v>
      </c>
      <c r="AG4">
        <v>2021</v>
      </c>
      <c r="AH4">
        <v>2022</v>
      </c>
      <c r="AI4">
        <v>2023</v>
      </c>
    </row>
    <row r="5" spans="1:35" x14ac:dyDescent="0.35">
      <c r="R5">
        <v>89</v>
      </c>
      <c r="V5" s="2" t="s">
        <v>123</v>
      </c>
      <c r="W5">
        <v>1</v>
      </c>
      <c r="X5">
        <v>2</v>
      </c>
      <c r="Y5">
        <v>4</v>
      </c>
      <c r="Z5">
        <v>4</v>
      </c>
      <c r="AA5">
        <v>4</v>
      </c>
      <c r="AD5" s="2" t="s">
        <v>18</v>
      </c>
      <c r="AE5" s="99">
        <v>15</v>
      </c>
      <c r="AF5" s="99">
        <v>32</v>
      </c>
      <c r="AG5" s="99">
        <v>31</v>
      </c>
      <c r="AH5" s="99">
        <v>30</v>
      </c>
      <c r="AI5" s="99">
        <v>14</v>
      </c>
    </row>
    <row r="6" spans="1:35" x14ac:dyDescent="0.35">
      <c r="V6" s="2" t="s">
        <v>77</v>
      </c>
      <c r="AD6" s="2" t="s">
        <v>43</v>
      </c>
      <c r="AE6" s="99"/>
      <c r="AF6" s="99">
        <v>10</v>
      </c>
      <c r="AG6" s="99">
        <v>11</v>
      </c>
      <c r="AH6" s="99">
        <v>9</v>
      </c>
      <c r="AI6" s="99">
        <v>10</v>
      </c>
    </row>
    <row r="7" spans="1:35" ht="16" x14ac:dyDescent="0.35">
      <c r="A7" s="101" t="s">
        <v>126</v>
      </c>
      <c r="V7" s="2" t="s">
        <v>1</v>
      </c>
      <c r="W7">
        <v>80</v>
      </c>
      <c r="X7">
        <v>97</v>
      </c>
      <c r="Y7">
        <v>98</v>
      </c>
      <c r="Z7">
        <v>102</v>
      </c>
      <c r="AA7">
        <v>88</v>
      </c>
      <c r="AD7" s="2" t="s">
        <v>20</v>
      </c>
      <c r="AE7" s="99">
        <v>7</v>
      </c>
      <c r="AF7" s="99">
        <v>10</v>
      </c>
      <c r="AG7" s="99">
        <v>5</v>
      </c>
      <c r="AH7" s="99">
        <v>5</v>
      </c>
      <c r="AI7" s="99">
        <v>4</v>
      </c>
    </row>
    <row r="8" spans="1:35" x14ac:dyDescent="0.35">
      <c r="A8" s="102" t="s">
        <v>127</v>
      </c>
      <c r="AD8" s="2" t="s">
        <v>141</v>
      </c>
      <c r="AE8" s="99">
        <v>9</v>
      </c>
      <c r="AF8" s="99"/>
      <c r="AG8" s="99">
        <v>11</v>
      </c>
      <c r="AH8" s="99">
        <v>14</v>
      </c>
      <c r="AI8" s="99">
        <v>18</v>
      </c>
    </row>
    <row r="9" spans="1:35" x14ac:dyDescent="0.35">
      <c r="AD9" s="2" t="s">
        <v>142</v>
      </c>
      <c r="AE9" s="99">
        <v>49</v>
      </c>
      <c r="AF9" s="99">
        <v>45</v>
      </c>
      <c r="AG9" s="99">
        <v>40</v>
      </c>
      <c r="AH9" s="99">
        <v>44</v>
      </c>
      <c r="AI9" s="99">
        <v>43</v>
      </c>
    </row>
    <row r="10" spans="1:35" x14ac:dyDescent="0.35">
      <c r="AD10" s="2" t="s">
        <v>1</v>
      </c>
      <c r="AE10" s="99">
        <v>80</v>
      </c>
      <c r="AF10" s="99">
        <v>97</v>
      </c>
      <c r="AG10" s="99">
        <v>98</v>
      </c>
      <c r="AH10" s="99">
        <v>102</v>
      </c>
      <c r="AI10" s="99">
        <v>89</v>
      </c>
    </row>
    <row r="12" spans="1:35" x14ac:dyDescent="0.35">
      <c r="P12" s="3"/>
    </row>
    <row r="13" spans="1:35" x14ac:dyDescent="0.35">
      <c r="P13" s="3"/>
    </row>
    <row r="14" spans="1:35" x14ac:dyDescent="0.35">
      <c r="P14" s="3"/>
    </row>
    <row r="15" spans="1:35" x14ac:dyDescent="0.35">
      <c r="P15" s="3"/>
    </row>
    <row r="16" spans="1:35" x14ac:dyDescent="0.35">
      <c r="A16" t="s">
        <v>24</v>
      </c>
      <c r="P16" s="3"/>
    </row>
    <row r="17" spans="1:20" x14ac:dyDescent="0.35">
      <c r="A17" s="1" t="s">
        <v>32</v>
      </c>
      <c r="B17" s="1" t="s">
        <v>23</v>
      </c>
      <c r="H17" s="1" t="s">
        <v>32</v>
      </c>
      <c r="I17" s="1" t="s">
        <v>23</v>
      </c>
      <c r="O17" s="1" t="s">
        <v>10</v>
      </c>
      <c r="P17" s="5" t="s">
        <v>23</v>
      </c>
    </row>
    <row r="18" spans="1:20" x14ac:dyDescent="0.35">
      <c r="A18" s="1" t="s">
        <v>17</v>
      </c>
      <c r="B18">
        <v>2019</v>
      </c>
      <c r="C18">
        <v>2020</v>
      </c>
      <c r="D18">
        <v>2021</v>
      </c>
      <c r="E18">
        <v>2022</v>
      </c>
      <c r="F18">
        <v>2023</v>
      </c>
      <c r="H18" s="1" t="s">
        <v>17</v>
      </c>
      <c r="I18">
        <v>2019</v>
      </c>
      <c r="J18">
        <v>2020</v>
      </c>
      <c r="K18">
        <v>2021</v>
      </c>
      <c r="L18">
        <v>2022</v>
      </c>
      <c r="M18">
        <v>2023</v>
      </c>
      <c r="O18" s="1" t="s">
        <v>17</v>
      </c>
      <c r="P18">
        <v>2019</v>
      </c>
      <c r="Q18">
        <v>2020</v>
      </c>
      <c r="R18">
        <v>2021</v>
      </c>
      <c r="S18">
        <v>2022</v>
      </c>
      <c r="T18">
        <v>2023</v>
      </c>
    </row>
    <row r="19" spans="1:20" x14ac:dyDescent="0.35">
      <c r="A19" s="2">
        <v>1</v>
      </c>
      <c r="D19">
        <v>1</v>
      </c>
      <c r="F19">
        <v>2</v>
      </c>
      <c r="H19" s="2">
        <v>1</v>
      </c>
      <c r="I19" s="4">
        <v>0</v>
      </c>
      <c r="J19" s="4">
        <v>0</v>
      </c>
      <c r="K19" s="4">
        <v>1.0869565217391304E-2</v>
      </c>
      <c r="L19" s="4">
        <v>0</v>
      </c>
      <c r="M19" s="4">
        <v>2.2727272727272728E-2</v>
      </c>
      <c r="N19" s="4"/>
      <c r="O19" s="2">
        <v>1</v>
      </c>
      <c r="P19" s="3"/>
      <c r="Q19" s="3"/>
      <c r="R19" s="3">
        <v>1</v>
      </c>
      <c r="S19" s="3"/>
      <c r="T19" s="3">
        <v>1</v>
      </c>
    </row>
    <row r="20" spans="1:20" x14ac:dyDescent="0.35">
      <c r="A20" s="2">
        <v>2</v>
      </c>
      <c r="B20">
        <v>2</v>
      </c>
      <c r="C20">
        <v>5</v>
      </c>
      <c r="D20">
        <v>1</v>
      </c>
      <c r="E20">
        <v>3</v>
      </c>
      <c r="F20">
        <v>2</v>
      </c>
      <c r="H20" s="2">
        <v>2</v>
      </c>
      <c r="I20" s="4">
        <v>2.5316455696202531E-2</v>
      </c>
      <c r="J20" s="4">
        <v>5.1546391752577317E-2</v>
      </c>
      <c r="K20" s="4">
        <v>1.0869565217391304E-2</v>
      </c>
      <c r="L20" s="4">
        <v>3.1578947368421054E-2</v>
      </c>
      <c r="M20" s="4">
        <v>2.2727272727272728E-2</v>
      </c>
      <c r="N20" s="4"/>
      <c r="O20" s="2">
        <v>2</v>
      </c>
      <c r="P20" s="3">
        <v>2</v>
      </c>
      <c r="Q20" s="3">
        <v>2</v>
      </c>
      <c r="R20" s="3">
        <v>2</v>
      </c>
      <c r="S20" s="3">
        <v>2</v>
      </c>
      <c r="T20" s="3">
        <v>2</v>
      </c>
    </row>
    <row r="21" spans="1:20" x14ac:dyDescent="0.35">
      <c r="A21" s="2">
        <v>3</v>
      </c>
      <c r="B21">
        <v>13</v>
      </c>
      <c r="C21">
        <v>16</v>
      </c>
      <c r="D21">
        <v>17</v>
      </c>
      <c r="E21">
        <v>11</v>
      </c>
      <c r="F21">
        <v>18</v>
      </c>
      <c r="H21" s="2">
        <v>3</v>
      </c>
      <c r="I21" s="4">
        <v>0.16455696202531644</v>
      </c>
      <c r="J21" s="4">
        <v>0.16494845360824742</v>
      </c>
      <c r="K21" s="4">
        <v>0.18478260869565216</v>
      </c>
      <c r="L21" s="4">
        <v>0.11578947368421053</v>
      </c>
      <c r="M21" s="4">
        <v>0.20454545454545456</v>
      </c>
      <c r="N21" s="4"/>
      <c r="O21" s="2">
        <v>3</v>
      </c>
      <c r="P21" s="3">
        <v>3</v>
      </c>
      <c r="Q21" s="3">
        <v>3</v>
      </c>
      <c r="R21" s="3">
        <v>3</v>
      </c>
      <c r="S21" s="3">
        <v>3</v>
      </c>
      <c r="T21" s="3">
        <v>3</v>
      </c>
    </row>
    <row r="22" spans="1:20" x14ac:dyDescent="0.35">
      <c r="A22" s="2">
        <v>4</v>
      </c>
      <c r="B22">
        <v>64</v>
      </c>
      <c r="C22">
        <v>74</v>
      </c>
      <c r="D22">
        <v>69</v>
      </c>
      <c r="E22">
        <v>80</v>
      </c>
      <c r="F22">
        <v>65</v>
      </c>
      <c r="H22" s="2">
        <v>4</v>
      </c>
      <c r="I22" s="4">
        <v>0.810126582278481</v>
      </c>
      <c r="J22" s="4">
        <v>0.76288659793814428</v>
      </c>
      <c r="K22" s="4">
        <v>0.75</v>
      </c>
      <c r="L22" s="4">
        <v>0.84210526315789469</v>
      </c>
      <c r="M22" s="4">
        <v>0.73863636363636365</v>
      </c>
      <c r="N22" s="4"/>
      <c r="O22" s="2">
        <v>4</v>
      </c>
      <c r="P22" s="3">
        <v>4</v>
      </c>
      <c r="Q22" s="3">
        <v>4</v>
      </c>
      <c r="R22" s="3">
        <v>4</v>
      </c>
      <c r="S22" s="3">
        <v>4</v>
      </c>
      <c r="T22" s="3">
        <v>4</v>
      </c>
    </row>
    <row r="23" spans="1:20" x14ac:dyDescent="0.35">
      <c r="A23" s="2">
        <v>5</v>
      </c>
      <c r="C23">
        <v>2</v>
      </c>
      <c r="D23">
        <v>4</v>
      </c>
      <c r="E23">
        <v>1</v>
      </c>
      <c r="F23">
        <v>1</v>
      </c>
      <c r="H23" s="2">
        <v>5</v>
      </c>
      <c r="I23" s="4">
        <v>0</v>
      </c>
      <c r="J23" s="4">
        <v>2.0618556701030927E-2</v>
      </c>
      <c r="K23" s="4">
        <v>4.3478260869565216E-2</v>
      </c>
      <c r="L23" s="4">
        <v>1.0526315789473684E-2</v>
      </c>
      <c r="M23" s="4">
        <v>1.1363636363636364E-2</v>
      </c>
      <c r="N23" s="4"/>
      <c r="O23" s="2" t="s">
        <v>1</v>
      </c>
      <c r="P23" s="3">
        <v>3.7848101265822787</v>
      </c>
      <c r="Q23" s="3">
        <v>3.7263157894736842</v>
      </c>
      <c r="R23" s="3">
        <v>3.75</v>
      </c>
      <c r="S23" s="3">
        <v>3.8191489361702127</v>
      </c>
      <c r="T23" s="3">
        <v>3.6781609195402298</v>
      </c>
    </row>
    <row r="24" spans="1:20" x14ac:dyDescent="0.35">
      <c r="A24" s="2" t="s">
        <v>1</v>
      </c>
      <c r="B24">
        <v>79</v>
      </c>
      <c r="C24">
        <v>97</v>
      </c>
      <c r="D24">
        <v>92</v>
      </c>
      <c r="E24">
        <v>95</v>
      </c>
      <c r="F24">
        <v>88</v>
      </c>
      <c r="H24" s="2" t="s">
        <v>1</v>
      </c>
      <c r="I24" s="4">
        <v>1</v>
      </c>
      <c r="J24" s="4">
        <v>1</v>
      </c>
      <c r="K24" s="4">
        <v>1</v>
      </c>
      <c r="L24" s="4">
        <v>1</v>
      </c>
      <c r="M24" s="4">
        <v>1</v>
      </c>
      <c r="N24" s="4"/>
      <c r="P24" s="3"/>
    </row>
    <row r="25" spans="1:20" x14ac:dyDescent="0.35">
      <c r="P25" s="3"/>
    </row>
    <row r="26" spans="1:20" x14ac:dyDescent="0.35">
      <c r="P26" s="3"/>
    </row>
    <row r="27" spans="1:20" x14ac:dyDescent="0.35">
      <c r="P27" s="3"/>
    </row>
    <row r="28" spans="1:20" x14ac:dyDescent="0.35">
      <c r="P28" s="3"/>
    </row>
    <row r="29" spans="1:20" x14ac:dyDescent="0.35">
      <c r="P29" s="3"/>
    </row>
    <row r="30" spans="1:20" x14ac:dyDescent="0.35">
      <c r="P30" s="3"/>
    </row>
    <row r="31" spans="1:20" x14ac:dyDescent="0.35">
      <c r="A31" t="s">
        <v>25</v>
      </c>
      <c r="P31" s="3"/>
    </row>
    <row r="32" spans="1:20" x14ac:dyDescent="0.35">
      <c r="A32" s="1" t="s">
        <v>30</v>
      </c>
      <c r="B32" s="1" t="s">
        <v>23</v>
      </c>
      <c r="H32" s="1" t="s">
        <v>30</v>
      </c>
      <c r="I32" s="1" t="s">
        <v>23</v>
      </c>
      <c r="O32" s="1" t="s">
        <v>31</v>
      </c>
      <c r="P32" s="5" t="s">
        <v>23</v>
      </c>
    </row>
    <row r="33" spans="1:20" x14ac:dyDescent="0.35">
      <c r="A33" s="1" t="s">
        <v>17</v>
      </c>
      <c r="B33">
        <v>2019</v>
      </c>
      <c r="C33">
        <v>2020</v>
      </c>
      <c r="D33">
        <v>2021</v>
      </c>
      <c r="E33">
        <v>2022</v>
      </c>
      <c r="F33">
        <v>2023</v>
      </c>
      <c r="H33" s="1" t="s">
        <v>17</v>
      </c>
      <c r="I33">
        <v>2019</v>
      </c>
      <c r="J33">
        <v>2020</v>
      </c>
      <c r="K33">
        <v>2021</v>
      </c>
      <c r="L33">
        <v>2022</v>
      </c>
      <c r="M33">
        <v>2023</v>
      </c>
      <c r="O33" s="5" t="s">
        <v>17</v>
      </c>
      <c r="P33">
        <v>2019</v>
      </c>
      <c r="Q33">
        <v>2020</v>
      </c>
      <c r="R33">
        <v>2021</v>
      </c>
      <c r="S33">
        <v>2022</v>
      </c>
      <c r="T33">
        <v>2023</v>
      </c>
    </row>
    <row r="34" spans="1:20" x14ac:dyDescent="0.35">
      <c r="A34" s="2">
        <v>1</v>
      </c>
      <c r="B34">
        <v>2</v>
      </c>
      <c r="C34">
        <v>6</v>
      </c>
      <c r="D34">
        <v>5</v>
      </c>
      <c r="E34">
        <v>2</v>
      </c>
      <c r="F34">
        <v>3</v>
      </c>
      <c r="H34" s="2">
        <v>1</v>
      </c>
      <c r="I34" s="4">
        <v>2.5974025974025976E-2</v>
      </c>
      <c r="J34" s="4">
        <v>6.1855670103092786E-2</v>
      </c>
      <c r="K34" s="4">
        <v>5.434782608695652E-2</v>
      </c>
      <c r="L34" s="4">
        <v>2.0618556701030927E-2</v>
      </c>
      <c r="M34" s="4">
        <v>3.4090909090909088E-2</v>
      </c>
      <c r="N34" s="4"/>
      <c r="O34" s="2">
        <v>1</v>
      </c>
      <c r="P34" s="3">
        <v>1</v>
      </c>
      <c r="Q34" s="3">
        <v>1</v>
      </c>
      <c r="R34" s="3">
        <v>1</v>
      </c>
      <c r="S34" s="3">
        <v>1</v>
      </c>
      <c r="T34" s="3">
        <v>1</v>
      </c>
    </row>
    <row r="35" spans="1:20" x14ac:dyDescent="0.35">
      <c r="A35" s="2">
        <v>2</v>
      </c>
      <c r="B35">
        <v>2</v>
      </c>
      <c r="C35">
        <v>6</v>
      </c>
      <c r="D35">
        <v>1</v>
      </c>
      <c r="F35">
        <v>3</v>
      </c>
      <c r="H35" s="2">
        <v>2</v>
      </c>
      <c r="I35" s="4">
        <v>2.5974025974025976E-2</v>
      </c>
      <c r="J35" s="4">
        <v>6.1855670103092786E-2</v>
      </c>
      <c r="K35" s="4">
        <v>1.0869565217391304E-2</v>
      </c>
      <c r="L35" s="4">
        <v>0</v>
      </c>
      <c r="M35" s="4">
        <v>3.4090909090909088E-2</v>
      </c>
      <c r="N35" s="4"/>
      <c r="O35" s="2">
        <v>2</v>
      </c>
      <c r="P35" s="3">
        <v>2</v>
      </c>
      <c r="Q35" s="3">
        <v>2</v>
      </c>
      <c r="R35" s="3">
        <v>2</v>
      </c>
      <c r="S35" s="3"/>
      <c r="T35" s="3">
        <v>2</v>
      </c>
    </row>
    <row r="36" spans="1:20" x14ac:dyDescent="0.35">
      <c r="A36" s="2">
        <v>3</v>
      </c>
      <c r="B36">
        <v>23</v>
      </c>
      <c r="C36">
        <v>28</v>
      </c>
      <c r="D36">
        <v>30</v>
      </c>
      <c r="E36">
        <v>35</v>
      </c>
      <c r="F36">
        <v>21</v>
      </c>
      <c r="H36" s="2">
        <v>3</v>
      </c>
      <c r="I36" s="4">
        <v>0.29870129870129869</v>
      </c>
      <c r="J36" s="4">
        <v>0.28865979381443296</v>
      </c>
      <c r="K36" s="4">
        <v>0.32608695652173914</v>
      </c>
      <c r="L36" s="4">
        <v>0.36082474226804123</v>
      </c>
      <c r="M36" s="4">
        <v>0.23863636363636365</v>
      </c>
      <c r="N36" s="4"/>
      <c r="O36" s="2">
        <v>3</v>
      </c>
      <c r="P36" s="3">
        <v>3</v>
      </c>
      <c r="Q36" s="3">
        <v>3</v>
      </c>
      <c r="R36" s="3">
        <v>3</v>
      </c>
      <c r="S36" s="3">
        <v>3</v>
      </c>
      <c r="T36" s="3">
        <v>3</v>
      </c>
    </row>
    <row r="37" spans="1:20" x14ac:dyDescent="0.35">
      <c r="A37" s="2">
        <v>4</v>
      </c>
      <c r="B37">
        <v>46</v>
      </c>
      <c r="C37">
        <v>44</v>
      </c>
      <c r="D37">
        <v>44</v>
      </c>
      <c r="E37">
        <v>51</v>
      </c>
      <c r="F37">
        <v>47</v>
      </c>
      <c r="H37" s="2">
        <v>4</v>
      </c>
      <c r="I37" s="4">
        <v>0.59740259740259738</v>
      </c>
      <c r="J37" s="4">
        <v>0.45360824742268041</v>
      </c>
      <c r="K37" s="4">
        <v>0.47826086956521741</v>
      </c>
      <c r="L37" s="4">
        <v>0.52577319587628868</v>
      </c>
      <c r="M37" s="4">
        <v>0.53409090909090906</v>
      </c>
      <c r="N37" s="4"/>
      <c r="O37" s="2">
        <v>4</v>
      </c>
      <c r="P37" s="3">
        <v>4</v>
      </c>
      <c r="Q37" s="3">
        <v>4</v>
      </c>
      <c r="R37" s="3">
        <v>4</v>
      </c>
      <c r="S37" s="3">
        <v>4</v>
      </c>
      <c r="T37" s="3">
        <v>4</v>
      </c>
    </row>
    <row r="38" spans="1:20" x14ac:dyDescent="0.35">
      <c r="A38" s="2">
        <v>5</v>
      </c>
      <c r="B38">
        <v>4</v>
      </c>
      <c r="C38">
        <v>13</v>
      </c>
      <c r="D38">
        <v>12</v>
      </c>
      <c r="E38">
        <v>9</v>
      </c>
      <c r="F38">
        <v>14</v>
      </c>
      <c r="H38" s="2">
        <v>5</v>
      </c>
      <c r="I38" s="4">
        <v>5.1948051948051951E-2</v>
      </c>
      <c r="J38" s="4">
        <v>0.13402061855670103</v>
      </c>
      <c r="K38" s="4">
        <v>0.13043478260869565</v>
      </c>
      <c r="L38" s="4">
        <v>9.2783505154639179E-2</v>
      </c>
      <c r="M38" s="4">
        <v>0.15909090909090909</v>
      </c>
      <c r="N38" s="4"/>
      <c r="O38" s="2" t="s">
        <v>1</v>
      </c>
      <c r="P38" s="3">
        <v>3.547945205479452</v>
      </c>
      <c r="Q38" s="3">
        <v>3.3095238095238093</v>
      </c>
      <c r="R38" s="3">
        <v>3.4125000000000001</v>
      </c>
      <c r="S38" s="3">
        <v>3.5340909090909092</v>
      </c>
      <c r="T38" s="3">
        <v>3.5135135135135136</v>
      </c>
    </row>
    <row r="39" spans="1:20" x14ac:dyDescent="0.35">
      <c r="A39" s="2" t="s">
        <v>1</v>
      </c>
      <c r="B39">
        <v>77</v>
      </c>
      <c r="C39">
        <v>97</v>
      </c>
      <c r="D39">
        <v>92</v>
      </c>
      <c r="E39">
        <v>97</v>
      </c>
      <c r="F39">
        <v>88</v>
      </c>
      <c r="H39" s="2" t="s">
        <v>1</v>
      </c>
      <c r="I39" s="4">
        <v>1</v>
      </c>
      <c r="J39" s="4">
        <v>1</v>
      </c>
      <c r="K39" s="4">
        <v>1</v>
      </c>
      <c r="L39" s="4">
        <v>1</v>
      </c>
      <c r="M39" s="4">
        <v>1</v>
      </c>
      <c r="N39" s="4"/>
      <c r="P39" s="3"/>
    </row>
    <row r="40" spans="1:20" x14ac:dyDescent="0.35">
      <c r="P40" s="3"/>
    </row>
    <row r="41" spans="1:20" x14ac:dyDescent="0.35">
      <c r="P41" s="3"/>
    </row>
    <row r="42" spans="1:20" x14ac:dyDescent="0.35">
      <c r="P42" s="3"/>
    </row>
    <row r="43" spans="1:20" x14ac:dyDescent="0.35">
      <c r="P43" s="3"/>
    </row>
    <row r="44" spans="1:20" x14ac:dyDescent="0.35">
      <c r="A44" t="s">
        <v>26</v>
      </c>
      <c r="P44" s="3"/>
    </row>
    <row r="45" spans="1:20" x14ac:dyDescent="0.35">
      <c r="A45" s="1" t="s">
        <v>33</v>
      </c>
      <c r="B45" s="1" t="s">
        <v>23</v>
      </c>
      <c r="H45" s="1" t="s">
        <v>33</v>
      </c>
      <c r="I45" s="1" t="s">
        <v>23</v>
      </c>
      <c r="O45" s="1" t="s">
        <v>40</v>
      </c>
      <c r="P45" s="5" t="s">
        <v>23</v>
      </c>
    </row>
    <row r="46" spans="1:20" x14ac:dyDescent="0.35">
      <c r="A46" s="1" t="s">
        <v>17</v>
      </c>
      <c r="B46">
        <v>2019</v>
      </c>
      <c r="C46">
        <v>2020</v>
      </c>
      <c r="D46">
        <v>2021</v>
      </c>
      <c r="E46">
        <v>2022</v>
      </c>
      <c r="F46">
        <v>2023</v>
      </c>
      <c r="H46" s="1" t="s">
        <v>17</v>
      </c>
      <c r="I46">
        <v>2019</v>
      </c>
      <c r="J46">
        <v>2020</v>
      </c>
      <c r="K46">
        <v>2021</v>
      </c>
      <c r="L46">
        <v>2022</v>
      </c>
      <c r="M46">
        <v>2023</v>
      </c>
      <c r="O46" s="1" t="s">
        <v>17</v>
      </c>
      <c r="P46" s="3">
        <v>2019</v>
      </c>
      <c r="Q46" s="3">
        <v>2020</v>
      </c>
      <c r="R46" s="3">
        <v>2021</v>
      </c>
      <c r="S46" s="3">
        <v>2022</v>
      </c>
      <c r="T46" s="3">
        <v>2023</v>
      </c>
    </row>
    <row r="47" spans="1:20" x14ac:dyDescent="0.35">
      <c r="A47" s="2">
        <v>1</v>
      </c>
      <c r="B47">
        <v>53</v>
      </c>
      <c r="C47">
        <v>82</v>
      </c>
      <c r="D47">
        <v>69</v>
      </c>
      <c r="E47">
        <v>2</v>
      </c>
      <c r="F47">
        <v>68</v>
      </c>
      <c r="H47" s="2">
        <v>1</v>
      </c>
      <c r="I47" s="4">
        <v>0.68831168831168832</v>
      </c>
      <c r="J47" s="4">
        <v>0.84536082474226804</v>
      </c>
      <c r="K47" s="4">
        <v>0.74193548387096775</v>
      </c>
      <c r="L47" s="4">
        <v>2.0618556701030927E-2</v>
      </c>
      <c r="M47" s="4">
        <v>0.7816091954022989</v>
      </c>
      <c r="N47" s="4"/>
      <c r="O47" s="2">
        <v>1</v>
      </c>
      <c r="P47" s="3">
        <v>1</v>
      </c>
      <c r="Q47" s="3">
        <v>1</v>
      </c>
      <c r="R47" s="3">
        <v>1</v>
      </c>
      <c r="S47" s="3">
        <v>1</v>
      </c>
      <c r="T47" s="3">
        <v>1</v>
      </c>
    </row>
    <row r="48" spans="1:20" x14ac:dyDescent="0.35">
      <c r="A48" s="2">
        <v>2</v>
      </c>
      <c r="B48">
        <v>6</v>
      </c>
      <c r="C48">
        <v>2</v>
      </c>
      <c r="D48">
        <v>2</v>
      </c>
      <c r="F48">
        <v>3</v>
      </c>
      <c r="H48" s="2">
        <v>2</v>
      </c>
      <c r="I48" s="4">
        <v>7.792207792207792E-2</v>
      </c>
      <c r="J48" s="4">
        <v>2.0618556701030927E-2</v>
      </c>
      <c r="K48" s="4">
        <v>2.1505376344086023E-2</v>
      </c>
      <c r="L48" s="4">
        <v>0</v>
      </c>
      <c r="M48" s="4">
        <v>3.4482758620689655E-2</v>
      </c>
      <c r="N48" s="4"/>
      <c r="O48" s="2">
        <v>2</v>
      </c>
      <c r="P48" s="3">
        <v>2</v>
      </c>
      <c r="Q48" s="3">
        <v>2</v>
      </c>
      <c r="R48" s="3">
        <v>2</v>
      </c>
      <c r="S48" s="3"/>
      <c r="T48" s="3">
        <v>2</v>
      </c>
    </row>
    <row r="49" spans="1:20" x14ac:dyDescent="0.35">
      <c r="A49" s="2">
        <v>3</v>
      </c>
      <c r="B49">
        <v>8</v>
      </c>
      <c r="C49">
        <v>2</v>
      </c>
      <c r="D49">
        <v>7</v>
      </c>
      <c r="E49">
        <v>35</v>
      </c>
      <c r="F49">
        <v>7</v>
      </c>
      <c r="H49" s="2">
        <v>3</v>
      </c>
      <c r="I49" s="4">
        <v>0.1038961038961039</v>
      </c>
      <c r="J49" s="4">
        <v>2.0618556701030927E-2</v>
      </c>
      <c r="K49" s="4">
        <v>7.5268817204301078E-2</v>
      </c>
      <c r="L49" s="4">
        <v>0.36082474226804123</v>
      </c>
      <c r="M49" s="4">
        <v>8.0459770114942528E-2</v>
      </c>
      <c r="N49" s="4"/>
      <c r="O49" s="2">
        <v>3</v>
      </c>
      <c r="P49" s="3">
        <v>3</v>
      </c>
      <c r="Q49" s="3">
        <v>3</v>
      </c>
      <c r="R49" s="3">
        <v>3</v>
      </c>
      <c r="S49" s="3">
        <v>3</v>
      </c>
      <c r="T49" s="3">
        <v>3</v>
      </c>
    </row>
    <row r="50" spans="1:20" x14ac:dyDescent="0.35">
      <c r="A50" s="2">
        <v>4</v>
      </c>
      <c r="B50">
        <v>6</v>
      </c>
      <c r="C50">
        <v>6</v>
      </c>
      <c r="D50">
        <v>10</v>
      </c>
      <c r="E50">
        <v>51</v>
      </c>
      <c r="F50">
        <v>7</v>
      </c>
      <c r="H50" s="2">
        <v>4</v>
      </c>
      <c r="I50" s="4">
        <v>7.792207792207792E-2</v>
      </c>
      <c r="J50" s="4">
        <v>6.1855670103092786E-2</v>
      </c>
      <c r="K50" s="4">
        <v>0.10752688172043011</v>
      </c>
      <c r="L50" s="4">
        <v>0.52577319587628868</v>
      </c>
      <c r="M50" s="4">
        <v>8.0459770114942528E-2</v>
      </c>
      <c r="N50" s="4"/>
      <c r="O50" s="2">
        <v>4</v>
      </c>
      <c r="P50" s="3">
        <v>4</v>
      </c>
      <c r="Q50" s="3">
        <v>4</v>
      </c>
      <c r="R50" s="3">
        <v>4</v>
      </c>
      <c r="S50" s="3">
        <v>4</v>
      </c>
      <c r="T50" s="3">
        <v>4</v>
      </c>
    </row>
    <row r="51" spans="1:20" x14ac:dyDescent="0.35">
      <c r="A51" s="2">
        <v>5</v>
      </c>
      <c r="B51">
        <v>4</v>
      </c>
      <c r="C51">
        <v>5</v>
      </c>
      <c r="D51">
        <v>5</v>
      </c>
      <c r="E51">
        <v>9</v>
      </c>
      <c r="F51">
        <v>2</v>
      </c>
      <c r="H51" s="2">
        <v>5</v>
      </c>
      <c r="I51" s="4">
        <v>5.1948051948051951E-2</v>
      </c>
      <c r="J51" s="4">
        <v>5.1546391752577317E-2</v>
      </c>
      <c r="K51" s="4">
        <v>5.3763440860215055E-2</v>
      </c>
      <c r="L51" s="4">
        <v>9.2783505154639179E-2</v>
      </c>
      <c r="M51" s="4">
        <v>2.2988505747126436E-2</v>
      </c>
      <c r="N51" s="4"/>
      <c r="O51" s="2" t="s">
        <v>1</v>
      </c>
      <c r="P51" s="3">
        <v>1.547945205479452</v>
      </c>
      <c r="Q51" s="3">
        <v>1.2608695652173914</v>
      </c>
      <c r="R51" s="3">
        <v>1.5227272727272727</v>
      </c>
      <c r="S51" s="3">
        <v>3.5340909090909092</v>
      </c>
      <c r="T51" s="3">
        <v>1.4470588235294117</v>
      </c>
    </row>
    <row r="52" spans="1:20" x14ac:dyDescent="0.35">
      <c r="A52" s="2" t="s">
        <v>1</v>
      </c>
      <c r="B52">
        <v>77</v>
      </c>
      <c r="C52">
        <v>97</v>
      </c>
      <c r="D52">
        <v>93</v>
      </c>
      <c r="E52">
        <v>97</v>
      </c>
      <c r="F52">
        <v>87</v>
      </c>
      <c r="H52" s="2" t="s">
        <v>1</v>
      </c>
      <c r="I52" s="4">
        <v>1</v>
      </c>
      <c r="J52" s="4">
        <v>1</v>
      </c>
      <c r="K52" s="4">
        <v>1</v>
      </c>
      <c r="L52" s="4">
        <v>1</v>
      </c>
      <c r="M52" s="4">
        <v>1</v>
      </c>
      <c r="N52" s="4"/>
      <c r="P52" s="3"/>
    </row>
    <row r="53" spans="1:20" x14ac:dyDescent="0.35">
      <c r="P53" s="3"/>
    </row>
    <row r="54" spans="1:20" x14ac:dyDescent="0.35">
      <c r="P54" s="3"/>
    </row>
    <row r="55" spans="1:20" x14ac:dyDescent="0.35">
      <c r="P55" s="3"/>
    </row>
    <row r="56" spans="1:20" x14ac:dyDescent="0.35">
      <c r="P56" s="3"/>
    </row>
    <row r="57" spans="1:20" x14ac:dyDescent="0.35">
      <c r="A57" t="s">
        <v>27</v>
      </c>
      <c r="P57" s="3"/>
    </row>
    <row r="58" spans="1:20" x14ac:dyDescent="0.35">
      <c r="A58" s="1" t="s">
        <v>34</v>
      </c>
      <c r="B58" s="1" t="s">
        <v>23</v>
      </c>
      <c r="H58" s="1" t="s">
        <v>34</v>
      </c>
      <c r="I58" s="1" t="s">
        <v>23</v>
      </c>
      <c r="O58" s="1" t="s">
        <v>39</v>
      </c>
      <c r="P58" s="5" t="s">
        <v>23</v>
      </c>
    </row>
    <row r="59" spans="1:20" x14ac:dyDescent="0.35">
      <c r="A59" s="1" t="s">
        <v>17</v>
      </c>
      <c r="B59">
        <v>2019</v>
      </c>
      <c r="C59">
        <v>2020</v>
      </c>
      <c r="D59">
        <v>2021</v>
      </c>
      <c r="E59">
        <v>2022</v>
      </c>
      <c r="F59">
        <v>2023</v>
      </c>
      <c r="H59" s="1" t="s">
        <v>17</v>
      </c>
      <c r="I59">
        <v>2019</v>
      </c>
      <c r="J59">
        <v>2020</v>
      </c>
      <c r="K59">
        <v>2021</v>
      </c>
      <c r="L59">
        <v>2022</v>
      </c>
      <c r="M59">
        <v>2023</v>
      </c>
      <c r="O59" s="1" t="s">
        <v>17</v>
      </c>
      <c r="P59" s="3">
        <v>2019</v>
      </c>
      <c r="Q59" s="3">
        <v>2020</v>
      </c>
      <c r="R59" s="3">
        <v>2021</v>
      </c>
      <c r="S59" s="3">
        <v>2022</v>
      </c>
      <c r="T59" s="3">
        <v>2023</v>
      </c>
    </row>
    <row r="60" spans="1:20" x14ac:dyDescent="0.35">
      <c r="A60" s="2">
        <v>1</v>
      </c>
      <c r="B60">
        <v>66</v>
      </c>
      <c r="C60">
        <v>84</v>
      </c>
      <c r="D60">
        <v>72</v>
      </c>
      <c r="E60">
        <v>78</v>
      </c>
      <c r="F60">
        <v>75</v>
      </c>
      <c r="H60" s="2">
        <v>1</v>
      </c>
      <c r="I60" s="4">
        <v>0.83544303797468356</v>
      </c>
      <c r="J60" s="4">
        <v>0.875</v>
      </c>
      <c r="K60" s="4">
        <v>0.78260869565217395</v>
      </c>
      <c r="L60" s="4">
        <v>0.80412371134020622</v>
      </c>
      <c r="M60" s="4">
        <v>0.86206896551724133</v>
      </c>
      <c r="N60" s="4"/>
      <c r="O60" s="2">
        <v>1</v>
      </c>
      <c r="P60" s="3">
        <v>1</v>
      </c>
      <c r="Q60" s="3">
        <v>1</v>
      </c>
      <c r="R60" s="3">
        <v>1</v>
      </c>
      <c r="S60" s="3">
        <v>1</v>
      </c>
      <c r="T60" s="3">
        <v>1</v>
      </c>
    </row>
    <row r="61" spans="1:20" x14ac:dyDescent="0.35">
      <c r="A61" s="2">
        <v>2</v>
      </c>
      <c r="B61">
        <v>2</v>
      </c>
      <c r="C61">
        <v>2</v>
      </c>
      <c r="D61">
        <v>3</v>
      </c>
      <c r="E61">
        <v>3</v>
      </c>
      <c r="F61">
        <v>5</v>
      </c>
      <c r="H61" s="2">
        <v>2</v>
      </c>
      <c r="I61" s="4">
        <v>2.5316455696202531E-2</v>
      </c>
      <c r="J61" s="4">
        <v>2.0833333333333332E-2</v>
      </c>
      <c r="K61" s="4">
        <v>3.2608695652173912E-2</v>
      </c>
      <c r="L61" s="4">
        <v>3.0927835051546393E-2</v>
      </c>
      <c r="M61" s="4">
        <v>5.7471264367816091E-2</v>
      </c>
      <c r="N61" s="4"/>
      <c r="O61" s="2">
        <v>2</v>
      </c>
      <c r="P61" s="3">
        <v>2</v>
      </c>
      <c r="Q61" s="3">
        <v>2</v>
      </c>
      <c r="R61" s="3">
        <v>2</v>
      </c>
      <c r="S61" s="3">
        <v>2</v>
      </c>
      <c r="T61" s="3">
        <v>2</v>
      </c>
    </row>
    <row r="62" spans="1:20" x14ac:dyDescent="0.35">
      <c r="A62" s="2">
        <v>3</v>
      </c>
      <c r="B62">
        <v>4</v>
      </c>
      <c r="C62">
        <v>4</v>
      </c>
      <c r="D62">
        <v>6</v>
      </c>
      <c r="E62">
        <v>2</v>
      </c>
      <c r="F62">
        <v>1</v>
      </c>
      <c r="H62" s="2">
        <v>3</v>
      </c>
      <c r="I62" s="4">
        <v>5.0632911392405063E-2</v>
      </c>
      <c r="J62" s="4">
        <v>4.1666666666666664E-2</v>
      </c>
      <c r="K62" s="4">
        <v>6.5217391304347824E-2</v>
      </c>
      <c r="L62" s="4">
        <v>2.0618556701030927E-2</v>
      </c>
      <c r="M62" s="4">
        <v>1.1494252873563218E-2</v>
      </c>
      <c r="N62" s="4"/>
      <c r="O62" s="2">
        <v>3</v>
      </c>
      <c r="P62" s="3">
        <v>3</v>
      </c>
      <c r="Q62" s="3">
        <v>3</v>
      </c>
      <c r="R62" s="3">
        <v>3</v>
      </c>
      <c r="S62" s="3">
        <v>3</v>
      </c>
      <c r="T62" s="3">
        <v>3</v>
      </c>
    </row>
    <row r="63" spans="1:20" x14ac:dyDescent="0.35">
      <c r="A63" s="2">
        <v>4</v>
      </c>
      <c r="B63">
        <v>5</v>
      </c>
      <c r="C63">
        <v>2</v>
      </c>
      <c r="D63">
        <v>6</v>
      </c>
      <c r="E63">
        <v>10</v>
      </c>
      <c r="F63">
        <v>5</v>
      </c>
      <c r="H63" s="2">
        <v>4</v>
      </c>
      <c r="I63" s="4">
        <v>6.3291139240506333E-2</v>
      </c>
      <c r="J63" s="4">
        <v>2.0833333333333332E-2</v>
      </c>
      <c r="K63" s="4">
        <v>6.5217391304347824E-2</v>
      </c>
      <c r="L63" s="4">
        <v>0.10309278350515463</v>
      </c>
      <c r="M63" s="4">
        <v>5.7471264367816091E-2</v>
      </c>
      <c r="N63" s="4"/>
      <c r="O63" s="2">
        <v>4</v>
      </c>
      <c r="P63" s="3">
        <v>4</v>
      </c>
      <c r="Q63" s="3">
        <v>4</v>
      </c>
      <c r="R63" s="3">
        <v>4</v>
      </c>
      <c r="S63" s="3">
        <v>4</v>
      </c>
      <c r="T63" s="3">
        <v>4</v>
      </c>
    </row>
    <row r="64" spans="1:20" x14ac:dyDescent="0.35">
      <c r="A64" s="2">
        <v>5</v>
      </c>
      <c r="B64">
        <v>2</v>
      </c>
      <c r="C64">
        <v>4</v>
      </c>
      <c r="D64">
        <v>5</v>
      </c>
      <c r="E64">
        <v>4</v>
      </c>
      <c r="F64">
        <v>1</v>
      </c>
      <c r="H64" s="2">
        <v>5</v>
      </c>
      <c r="I64" s="4">
        <v>2.5316455696202531E-2</v>
      </c>
      <c r="J64" s="4">
        <v>4.1666666666666664E-2</v>
      </c>
      <c r="K64" s="4">
        <v>5.434782608695652E-2</v>
      </c>
      <c r="L64" s="4">
        <v>4.1237113402061855E-2</v>
      </c>
      <c r="M64" s="4">
        <v>1.1494252873563218E-2</v>
      </c>
      <c r="N64" s="4"/>
      <c r="O64" s="2" t="s">
        <v>1</v>
      </c>
      <c r="P64" s="3">
        <v>1.3246753246753247</v>
      </c>
      <c r="Q64" s="3">
        <v>1.173913043478261</v>
      </c>
      <c r="R64" s="3">
        <v>1.3793103448275863</v>
      </c>
      <c r="S64" s="3">
        <v>1.3978494623655915</v>
      </c>
      <c r="T64" s="3">
        <v>1.2558139534883721</v>
      </c>
    </row>
    <row r="65" spans="1:20" x14ac:dyDescent="0.35">
      <c r="A65" s="2" t="s">
        <v>1</v>
      </c>
      <c r="B65">
        <v>79</v>
      </c>
      <c r="C65">
        <v>96</v>
      </c>
      <c r="D65">
        <v>92</v>
      </c>
      <c r="E65">
        <v>97</v>
      </c>
      <c r="F65">
        <v>87</v>
      </c>
      <c r="H65" s="2" t="s">
        <v>1</v>
      </c>
      <c r="I65" s="4">
        <v>1</v>
      </c>
      <c r="J65" s="4">
        <v>1</v>
      </c>
      <c r="K65" s="4">
        <v>1</v>
      </c>
      <c r="L65" s="4">
        <v>1</v>
      </c>
      <c r="M65" s="4">
        <v>1</v>
      </c>
      <c r="N65" s="4"/>
      <c r="P65" s="3"/>
    </row>
    <row r="66" spans="1:20" x14ac:dyDescent="0.35">
      <c r="P66" s="3"/>
    </row>
    <row r="67" spans="1:20" x14ac:dyDescent="0.35">
      <c r="P67" s="3"/>
    </row>
    <row r="68" spans="1:20" x14ac:dyDescent="0.35">
      <c r="P68" s="3"/>
    </row>
    <row r="69" spans="1:20" x14ac:dyDescent="0.35">
      <c r="P69" s="3"/>
    </row>
    <row r="70" spans="1:20" x14ac:dyDescent="0.35">
      <c r="A70" t="s">
        <v>3</v>
      </c>
      <c r="P70" s="3"/>
    </row>
    <row r="71" spans="1:20" x14ac:dyDescent="0.35">
      <c r="A71" s="1" t="s">
        <v>35</v>
      </c>
      <c r="B71" s="1" t="s">
        <v>23</v>
      </c>
      <c r="H71" s="1" t="s">
        <v>35</v>
      </c>
      <c r="I71" s="1" t="s">
        <v>23</v>
      </c>
      <c r="O71" s="1" t="s">
        <v>38</v>
      </c>
      <c r="P71" s="5" t="s">
        <v>23</v>
      </c>
    </row>
    <row r="72" spans="1:20" x14ac:dyDescent="0.35">
      <c r="A72" s="1" t="s">
        <v>17</v>
      </c>
      <c r="B72">
        <v>2019</v>
      </c>
      <c r="C72">
        <v>2020</v>
      </c>
      <c r="D72">
        <v>2021</v>
      </c>
      <c r="E72">
        <v>2022</v>
      </c>
      <c r="F72">
        <v>2023</v>
      </c>
      <c r="H72" s="1" t="s">
        <v>17</v>
      </c>
      <c r="I72">
        <v>2019</v>
      </c>
      <c r="J72">
        <v>2020</v>
      </c>
      <c r="K72">
        <v>2021</v>
      </c>
      <c r="L72">
        <v>2022</v>
      </c>
      <c r="M72">
        <v>2023</v>
      </c>
      <c r="O72" s="1" t="s">
        <v>17</v>
      </c>
      <c r="P72" s="3">
        <v>2019</v>
      </c>
      <c r="Q72" s="3">
        <v>2020</v>
      </c>
      <c r="R72" s="3">
        <v>2021</v>
      </c>
      <c r="S72" s="3">
        <v>2022</v>
      </c>
      <c r="T72" s="3">
        <v>2023</v>
      </c>
    </row>
    <row r="73" spans="1:20" x14ac:dyDescent="0.35">
      <c r="A73" s="2">
        <v>1</v>
      </c>
      <c r="B73">
        <v>4</v>
      </c>
      <c r="C73">
        <v>7</v>
      </c>
      <c r="D73">
        <v>7</v>
      </c>
      <c r="E73">
        <v>2</v>
      </c>
      <c r="F73">
        <v>3</v>
      </c>
      <c r="H73" s="2">
        <v>1</v>
      </c>
      <c r="I73" s="4">
        <v>5.0632911392405063E-2</v>
      </c>
      <c r="J73" s="4">
        <v>7.2164948453608241E-2</v>
      </c>
      <c r="K73" s="4">
        <v>7.3684210526315783E-2</v>
      </c>
      <c r="L73" s="4">
        <v>2.0408163265306121E-2</v>
      </c>
      <c r="M73" s="4">
        <v>3.4482758620689655E-2</v>
      </c>
      <c r="N73" s="4"/>
      <c r="O73" s="2">
        <v>1</v>
      </c>
      <c r="P73" s="3">
        <v>1</v>
      </c>
      <c r="Q73" s="3">
        <v>1</v>
      </c>
      <c r="R73" s="3">
        <v>1</v>
      </c>
      <c r="S73" s="3">
        <v>1</v>
      </c>
      <c r="T73" s="3">
        <v>1</v>
      </c>
    </row>
    <row r="74" spans="1:20" x14ac:dyDescent="0.35">
      <c r="A74" s="2">
        <v>2</v>
      </c>
      <c r="B74">
        <v>3</v>
      </c>
      <c r="C74">
        <v>5</v>
      </c>
      <c r="D74">
        <v>1</v>
      </c>
      <c r="E74">
        <v>4</v>
      </c>
      <c r="F74">
        <v>1</v>
      </c>
      <c r="H74" s="2">
        <v>2</v>
      </c>
      <c r="I74" s="4">
        <v>3.7974683544303799E-2</v>
      </c>
      <c r="J74" s="4">
        <v>5.1546391752577317E-2</v>
      </c>
      <c r="K74" s="4">
        <v>1.0526315789473684E-2</v>
      </c>
      <c r="L74" s="4">
        <v>4.0816326530612242E-2</v>
      </c>
      <c r="M74" s="4">
        <v>1.1494252873563218E-2</v>
      </c>
      <c r="N74" s="4"/>
      <c r="O74" s="2">
        <v>2</v>
      </c>
      <c r="P74" s="3">
        <v>2</v>
      </c>
      <c r="Q74" s="3">
        <v>2</v>
      </c>
      <c r="R74" s="3">
        <v>2</v>
      </c>
      <c r="S74" s="3">
        <v>2</v>
      </c>
      <c r="T74" s="3">
        <v>2</v>
      </c>
    </row>
    <row r="75" spans="1:20" x14ac:dyDescent="0.35">
      <c r="A75" s="2">
        <v>3</v>
      </c>
      <c r="B75">
        <v>13</v>
      </c>
      <c r="C75">
        <v>19</v>
      </c>
      <c r="D75">
        <v>23</v>
      </c>
      <c r="E75">
        <v>19</v>
      </c>
      <c r="F75">
        <v>24</v>
      </c>
      <c r="H75" s="2">
        <v>3</v>
      </c>
      <c r="I75" s="4">
        <v>0.16455696202531644</v>
      </c>
      <c r="J75" s="4">
        <v>0.19587628865979381</v>
      </c>
      <c r="K75" s="4">
        <v>0.24210526315789474</v>
      </c>
      <c r="L75" s="4">
        <v>0.19387755102040816</v>
      </c>
      <c r="M75" s="4">
        <v>0.27586206896551724</v>
      </c>
      <c r="N75" s="4"/>
      <c r="O75" s="2">
        <v>3</v>
      </c>
      <c r="P75" s="3">
        <v>3</v>
      </c>
      <c r="Q75" s="3">
        <v>3</v>
      </c>
      <c r="R75" s="3">
        <v>3</v>
      </c>
      <c r="S75" s="3">
        <v>3</v>
      </c>
      <c r="T75" s="3">
        <v>3</v>
      </c>
    </row>
    <row r="76" spans="1:20" x14ac:dyDescent="0.35">
      <c r="A76" s="2">
        <v>4</v>
      </c>
      <c r="B76">
        <v>58</v>
      </c>
      <c r="C76">
        <v>63</v>
      </c>
      <c r="D76">
        <v>61</v>
      </c>
      <c r="E76">
        <v>70</v>
      </c>
      <c r="F76">
        <v>57</v>
      </c>
      <c r="H76" s="2">
        <v>4</v>
      </c>
      <c r="I76" s="4">
        <v>0.73417721518987344</v>
      </c>
      <c r="J76" s="4">
        <v>0.64948453608247425</v>
      </c>
      <c r="K76" s="4">
        <v>0.64210526315789473</v>
      </c>
      <c r="L76" s="4">
        <v>0.7142857142857143</v>
      </c>
      <c r="M76" s="4">
        <v>0.65517241379310343</v>
      </c>
      <c r="N76" s="4"/>
      <c r="O76" s="2">
        <v>4</v>
      </c>
      <c r="P76" s="3">
        <v>4</v>
      </c>
      <c r="Q76" s="3">
        <v>4</v>
      </c>
      <c r="R76" s="3">
        <v>4</v>
      </c>
      <c r="S76" s="3">
        <v>4</v>
      </c>
      <c r="T76" s="3">
        <v>4</v>
      </c>
    </row>
    <row r="77" spans="1:20" x14ac:dyDescent="0.35">
      <c r="A77" s="2">
        <v>5</v>
      </c>
      <c r="B77">
        <v>1</v>
      </c>
      <c r="C77">
        <v>3</v>
      </c>
      <c r="D77">
        <v>3</v>
      </c>
      <c r="E77">
        <v>3</v>
      </c>
      <c r="F77">
        <v>2</v>
      </c>
      <c r="H77" s="2">
        <v>5</v>
      </c>
      <c r="I77" s="4">
        <v>1.2658227848101266E-2</v>
      </c>
      <c r="J77" s="4">
        <v>3.0927835051546393E-2</v>
      </c>
      <c r="K77" s="4">
        <v>3.1578947368421054E-2</v>
      </c>
      <c r="L77" s="4">
        <v>3.0612244897959183E-2</v>
      </c>
      <c r="M77" s="4">
        <v>2.2988505747126436E-2</v>
      </c>
      <c r="N77" s="4"/>
      <c r="O77" s="2" t="s">
        <v>1</v>
      </c>
      <c r="P77" s="3">
        <v>3.6025641025641026</v>
      </c>
      <c r="Q77" s="3">
        <v>3.4680851063829787</v>
      </c>
      <c r="R77" s="3">
        <v>3.5</v>
      </c>
      <c r="S77" s="3">
        <v>3.6526315789473682</v>
      </c>
      <c r="T77" s="3">
        <v>3.5882352941176472</v>
      </c>
    </row>
    <row r="78" spans="1:20" x14ac:dyDescent="0.35">
      <c r="A78" s="2" t="s">
        <v>1</v>
      </c>
      <c r="B78">
        <v>79</v>
      </c>
      <c r="C78">
        <v>97</v>
      </c>
      <c r="D78">
        <v>95</v>
      </c>
      <c r="E78">
        <v>98</v>
      </c>
      <c r="F78">
        <v>87</v>
      </c>
      <c r="H78" s="2" t="s">
        <v>1</v>
      </c>
      <c r="I78" s="4">
        <v>1</v>
      </c>
      <c r="J78" s="4">
        <v>1</v>
      </c>
      <c r="K78" s="4">
        <v>1</v>
      </c>
      <c r="L78" s="4">
        <v>1</v>
      </c>
      <c r="M78" s="4">
        <v>1</v>
      </c>
      <c r="N78" s="4"/>
      <c r="P78" s="3"/>
    </row>
    <row r="79" spans="1:20" x14ac:dyDescent="0.35">
      <c r="P79" s="3"/>
    </row>
    <row r="80" spans="1:20" x14ac:dyDescent="0.35">
      <c r="P80" s="3"/>
    </row>
    <row r="81" spans="1:20" x14ac:dyDescent="0.35">
      <c r="P81" s="3"/>
    </row>
    <row r="82" spans="1:20" x14ac:dyDescent="0.35">
      <c r="A82" t="s">
        <v>28</v>
      </c>
      <c r="P82" s="3"/>
    </row>
    <row r="83" spans="1:20" x14ac:dyDescent="0.35">
      <c r="A83" s="1" t="s">
        <v>36</v>
      </c>
      <c r="B83" s="1" t="s">
        <v>23</v>
      </c>
      <c r="H83" s="1" t="s">
        <v>36</v>
      </c>
      <c r="I83" s="1" t="s">
        <v>23</v>
      </c>
      <c r="O83" s="1" t="s">
        <v>37</v>
      </c>
      <c r="P83" s="5" t="s">
        <v>23</v>
      </c>
    </row>
    <row r="84" spans="1:20" x14ac:dyDescent="0.35">
      <c r="A84" s="1" t="s">
        <v>17</v>
      </c>
      <c r="B84">
        <v>2019</v>
      </c>
      <c r="C84">
        <v>2020</v>
      </c>
      <c r="D84">
        <v>2021</v>
      </c>
      <c r="E84">
        <v>2022</v>
      </c>
      <c r="F84">
        <v>2023</v>
      </c>
      <c r="H84" s="1" t="s">
        <v>17</v>
      </c>
      <c r="I84">
        <v>2019</v>
      </c>
      <c r="J84">
        <v>2020</v>
      </c>
      <c r="K84">
        <v>2021</v>
      </c>
      <c r="L84">
        <v>2022</v>
      </c>
      <c r="M84">
        <v>2023</v>
      </c>
      <c r="O84" s="1" t="s">
        <v>17</v>
      </c>
      <c r="P84" s="3">
        <v>2019</v>
      </c>
      <c r="Q84" s="3">
        <v>2020</v>
      </c>
      <c r="R84" s="3">
        <v>2021</v>
      </c>
      <c r="S84" s="3">
        <v>2022</v>
      </c>
      <c r="T84" s="3">
        <v>2023</v>
      </c>
    </row>
    <row r="85" spans="1:20" x14ac:dyDescent="0.35">
      <c r="A85" s="2">
        <v>1</v>
      </c>
      <c r="D85">
        <v>3</v>
      </c>
      <c r="F85">
        <v>1</v>
      </c>
      <c r="H85" s="2">
        <v>1</v>
      </c>
      <c r="I85" s="4">
        <v>0</v>
      </c>
      <c r="J85" s="4">
        <v>0</v>
      </c>
      <c r="K85" s="4">
        <v>3.2608695652173912E-2</v>
      </c>
      <c r="L85" s="4">
        <v>0</v>
      </c>
      <c r="M85" s="4">
        <v>1.1363636363636364E-2</v>
      </c>
      <c r="N85" s="4"/>
      <c r="O85" s="2">
        <v>1</v>
      </c>
      <c r="P85" s="3"/>
      <c r="Q85" s="3"/>
      <c r="R85" s="3">
        <v>1</v>
      </c>
      <c r="S85" s="3"/>
      <c r="T85" s="3">
        <v>1</v>
      </c>
    </row>
    <row r="86" spans="1:20" x14ac:dyDescent="0.35">
      <c r="A86" s="2">
        <v>2</v>
      </c>
      <c r="C86">
        <v>1</v>
      </c>
      <c r="E86">
        <v>1</v>
      </c>
      <c r="F86">
        <v>4</v>
      </c>
      <c r="H86" s="2">
        <v>2</v>
      </c>
      <c r="I86" s="4">
        <v>0</v>
      </c>
      <c r="J86" s="4">
        <v>1.0526315789473684E-2</v>
      </c>
      <c r="K86" s="4">
        <v>0</v>
      </c>
      <c r="L86" s="4">
        <v>1.0309278350515464E-2</v>
      </c>
      <c r="M86" s="4">
        <v>4.5454545454545456E-2</v>
      </c>
      <c r="N86" s="4"/>
      <c r="O86" s="2">
        <v>2</v>
      </c>
      <c r="P86" s="3"/>
      <c r="Q86" s="3">
        <v>2</v>
      </c>
      <c r="R86" s="3"/>
      <c r="S86" s="3">
        <v>2</v>
      </c>
      <c r="T86" s="3">
        <v>2</v>
      </c>
    </row>
    <row r="87" spans="1:20" x14ac:dyDescent="0.35">
      <c r="A87" s="2">
        <v>3</v>
      </c>
      <c r="B87">
        <v>15</v>
      </c>
      <c r="C87">
        <v>16</v>
      </c>
      <c r="D87">
        <v>15</v>
      </c>
      <c r="E87">
        <v>16</v>
      </c>
      <c r="F87">
        <v>13</v>
      </c>
      <c r="H87" s="2">
        <v>3</v>
      </c>
      <c r="I87" s="4">
        <v>0.20833333333333334</v>
      </c>
      <c r="J87" s="4">
        <v>0.16842105263157894</v>
      </c>
      <c r="K87" s="4">
        <v>0.16304347826086957</v>
      </c>
      <c r="L87" s="4">
        <v>0.16494845360824742</v>
      </c>
      <c r="M87" s="4">
        <v>0.14772727272727273</v>
      </c>
      <c r="N87" s="4"/>
      <c r="O87" s="2">
        <v>3</v>
      </c>
      <c r="P87" s="3">
        <v>3</v>
      </c>
      <c r="Q87" s="3">
        <v>3</v>
      </c>
      <c r="R87" s="3">
        <v>3</v>
      </c>
      <c r="S87" s="3">
        <v>3</v>
      </c>
      <c r="T87" s="3">
        <v>3</v>
      </c>
    </row>
    <row r="88" spans="1:20" x14ac:dyDescent="0.35">
      <c r="A88" s="2">
        <v>4</v>
      </c>
      <c r="B88">
        <v>54</v>
      </c>
      <c r="C88">
        <v>74</v>
      </c>
      <c r="D88">
        <v>70</v>
      </c>
      <c r="E88">
        <v>72</v>
      </c>
      <c r="F88">
        <v>63</v>
      </c>
      <c r="H88" s="2">
        <v>4</v>
      </c>
      <c r="I88" s="4">
        <v>0.75</v>
      </c>
      <c r="J88" s="4">
        <v>0.77894736842105261</v>
      </c>
      <c r="K88" s="4">
        <v>0.76086956521739135</v>
      </c>
      <c r="L88" s="4">
        <v>0.74226804123711343</v>
      </c>
      <c r="M88" s="4">
        <v>0.71590909090909094</v>
      </c>
      <c r="N88" s="4"/>
      <c r="O88" s="2">
        <v>4</v>
      </c>
      <c r="P88" s="3">
        <v>4</v>
      </c>
      <c r="Q88" s="3">
        <v>4</v>
      </c>
      <c r="R88" s="3">
        <v>4</v>
      </c>
      <c r="S88" s="3">
        <v>4</v>
      </c>
      <c r="T88" s="3">
        <v>4</v>
      </c>
    </row>
    <row r="89" spans="1:20" x14ac:dyDescent="0.35">
      <c r="A89" s="2">
        <v>5</v>
      </c>
      <c r="B89">
        <v>3</v>
      </c>
      <c r="C89">
        <v>4</v>
      </c>
      <c r="D89">
        <v>4</v>
      </c>
      <c r="E89">
        <v>8</v>
      </c>
      <c r="F89">
        <v>7</v>
      </c>
      <c r="H89" s="2">
        <v>5</v>
      </c>
      <c r="I89" s="4">
        <v>4.1666666666666664E-2</v>
      </c>
      <c r="J89" s="4">
        <v>4.2105263157894736E-2</v>
      </c>
      <c r="K89" s="4">
        <v>4.3478260869565216E-2</v>
      </c>
      <c r="L89" s="4">
        <v>8.247422680412371E-2</v>
      </c>
      <c r="M89" s="4">
        <v>7.9545454545454544E-2</v>
      </c>
      <c r="N89" s="4"/>
      <c r="O89" s="2" t="s">
        <v>1</v>
      </c>
      <c r="P89" s="3">
        <v>3.7826086956521738</v>
      </c>
      <c r="Q89" s="3">
        <v>3.802197802197802</v>
      </c>
      <c r="R89" s="3">
        <v>3.7272727272727271</v>
      </c>
      <c r="S89" s="3">
        <v>3.797752808988764</v>
      </c>
      <c r="T89" s="3">
        <v>3.7037037037037037</v>
      </c>
    </row>
    <row r="90" spans="1:20" x14ac:dyDescent="0.35">
      <c r="A90" s="2" t="s">
        <v>1</v>
      </c>
      <c r="B90">
        <v>72</v>
      </c>
      <c r="C90">
        <v>95</v>
      </c>
      <c r="D90">
        <v>92</v>
      </c>
      <c r="E90">
        <v>97</v>
      </c>
      <c r="F90">
        <v>88</v>
      </c>
      <c r="H90" s="2" t="s">
        <v>1</v>
      </c>
      <c r="I90" s="4">
        <v>1</v>
      </c>
      <c r="J90" s="4">
        <v>1</v>
      </c>
      <c r="K90" s="4">
        <v>1</v>
      </c>
      <c r="L90" s="4">
        <v>1</v>
      </c>
      <c r="M90" s="4">
        <v>1</v>
      </c>
      <c r="N90" s="4"/>
      <c r="P90" s="3"/>
    </row>
    <row r="91" spans="1:20" x14ac:dyDescent="0.35">
      <c r="P91" s="3"/>
    </row>
    <row r="92" spans="1:20" x14ac:dyDescent="0.35">
      <c r="P92" s="3"/>
    </row>
    <row r="95" spans="1:20" x14ac:dyDescent="0.35">
      <c r="A95" s="7" t="s">
        <v>29</v>
      </c>
      <c r="O95" s="7"/>
    </row>
    <row r="96" spans="1:20" x14ac:dyDescent="0.35">
      <c r="A96" s="1" t="s">
        <v>49</v>
      </c>
      <c r="B96" s="1" t="s">
        <v>23</v>
      </c>
      <c r="H96" s="1" t="s">
        <v>49</v>
      </c>
      <c r="I96" s="1" t="s">
        <v>23</v>
      </c>
      <c r="O96" s="1" t="s">
        <v>51</v>
      </c>
      <c r="P96" s="1" t="s">
        <v>23</v>
      </c>
    </row>
    <row r="97" spans="1:20" x14ac:dyDescent="0.35">
      <c r="A97" s="1" t="s">
        <v>17</v>
      </c>
      <c r="B97">
        <v>2019</v>
      </c>
      <c r="C97">
        <v>2020</v>
      </c>
      <c r="D97">
        <v>2021</v>
      </c>
      <c r="E97">
        <v>2022</v>
      </c>
      <c r="F97">
        <v>2023</v>
      </c>
      <c r="H97" s="1" t="s">
        <v>17</v>
      </c>
      <c r="I97">
        <v>2019</v>
      </c>
      <c r="J97">
        <v>2020</v>
      </c>
      <c r="K97">
        <v>2021</v>
      </c>
      <c r="L97">
        <v>2022</v>
      </c>
      <c r="M97">
        <v>2023</v>
      </c>
      <c r="O97" s="1" t="s">
        <v>17</v>
      </c>
      <c r="P97">
        <v>2019</v>
      </c>
      <c r="Q97">
        <v>2020</v>
      </c>
      <c r="R97">
        <v>2021</v>
      </c>
      <c r="S97">
        <v>2022</v>
      </c>
      <c r="T97">
        <v>2023</v>
      </c>
    </row>
    <row r="98" spans="1:20" x14ac:dyDescent="0.35">
      <c r="A98" s="2">
        <v>1</v>
      </c>
      <c r="B98">
        <v>2</v>
      </c>
      <c r="C98">
        <v>5</v>
      </c>
      <c r="D98">
        <v>4</v>
      </c>
      <c r="E98">
        <v>2</v>
      </c>
      <c r="F98">
        <v>4</v>
      </c>
      <c r="H98" s="2">
        <v>1</v>
      </c>
      <c r="I98" s="4">
        <v>2.5000000000000001E-2</v>
      </c>
      <c r="J98" s="4">
        <v>5.2083333333333336E-2</v>
      </c>
      <c r="K98" s="4">
        <v>4.2105263157894736E-2</v>
      </c>
      <c r="L98" s="4">
        <v>2.0618556701030927E-2</v>
      </c>
      <c r="M98" s="4">
        <v>4.5454545454545456E-2</v>
      </c>
      <c r="N98" s="6"/>
      <c r="O98" s="2">
        <v>1</v>
      </c>
      <c r="P98">
        <v>1</v>
      </c>
      <c r="Q98">
        <v>1</v>
      </c>
      <c r="R98">
        <v>1</v>
      </c>
      <c r="S98">
        <v>1</v>
      </c>
      <c r="T98">
        <v>1</v>
      </c>
    </row>
    <row r="99" spans="1:20" x14ac:dyDescent="0.35">
      <c r="A99" s="2">
        <v>2</v>
      </c>
      <c r="B99">
        <v>6</v>
      </c>
      <c r="C99">
        <v>3</v>
      </c>
      <c r="D99">
        <v>4</v>
      </c>
      <c r="E99">
        <v>3</v>
      </c>
      <c r="F99">
        <v>2</v>
      </c>
      <c r="H99" s="2">
        <v>2</v>
      </c>
      <c r="I99" s="4">
        <v>7.4999999999999997E-2</v>
      </c>
      <c r="J99" s="4">
        <v>3.125E-2</v>
      </c>
      <c r="K99" s="4">
        <v>4.2105263157894736E-2</v>
      </c>
      <c r="L99" s="4">
        <v>3.0927835051546393E-2</v>
      </c>
      <c r="M99" s="4">
        <v>2.2727272727272728E-2</v>
      </c>
      <c r="N99" s="6"/>
      <c r="O99" s="2">
        <v>2</v>
      </c>
      <c r="P99">
        <v>2</v>
      </c>
      <c r="Q99">
        <v>2</v>
      </c>
      <c r="R99">
        <v>2</v>
      </c>
      <c r="S99">
        <v>2</v>
      </c>
      <c r="T99">
        <v>2</v>
      </c>
    </row>
    <row r="100" spans="1:20" x14ac:dyDescent="0.35">
      <c r="A100" s="2">
        <v>3</v>
      </c>
      <c r="B100">
        <v>11</v>
      </c>
      <c r="C100">
        <v>21</v>
      </c>
      <c r="D100">
        <v>23</v>
      </c>
      <c r="E100">
        <v>16</v>
      </c>
      <c r="F100">
        <v>22</v>
      </c>
      <c r="H100" s="2">
        <v>3</v>
      </c>
      <c r="I100" s="4">
        <v>0.13750000000000001</v>
      </c>
      <c r="J100" s="4">
        <v>0.21875</v>
      </c>
      <c r="K100" s="4">
        <v>0.24210526315789474</v>
      </c>
      <c r="L100" s="4">
        <v>0.16494845360824742</v>
      </c>
      <c r="M100" s="4">
        <v>0.25</v>
      </c>
      <c r="N100" s="6"/>
      <c r="O100" s="2">
        <v>3</v>
      </c>
      <c r="P100">
        <v>3</v>
      </c>
      <c r="Q100">
        <v>3</v>
      </c>
      <c r="R100">
        <v>3</v>
      </c>
      <c r="S100">
        <v>3</v>
      </c>
      <c r="T100">
        <v>3</v>
      </c>
    </row>
    <row r="101" spans="1:20" x14ac:dyDescent="0.35">
      <c r="A101" s="2">
        <v>4</v>
      </c>
      <c r="B101">
        <v>60</v>
      </c>
      <c r="C101">
        <v>65</v>
      </c>
      <c r="D101">
        <v>60</v>
      </c>
      <c r="E101">
        <v>71</v>
      </c>
      <c r="F101">
        <v>55</v>
      </c>
      <c r="H101" s="2">
        <v>4</v>
      </c>
      <c r="I101" s="4">
        <v>0.75</v>
      </c>
      <c r="J101" s="4">
        <v>0.67708333333333337</v>
      </c>
      <c r="K101" s="4">
        <v>0.63157894736842102</v>
      </c>
      <c r="L101" s="4">
        <v>0.73195876288659789</v>
      </c>
      <c r="M101" s="4">
        <v>0.625</v>
      </c>
      <c r="N101" s="6"/>
      <c r="O101" s="2">
        <v>4</v>
      </c>
      <c r="P101">
        <v>4</v>
      </c>
      <c r="Q101">
        <v>4</v>
      </c>
      <c r="R101">
        <v>4</v>
      </c>
      <c r="S101">
        <v>4</v>
      </c>
      <c r="T101">
        <v>4</v>
      </c>
    </row>
    <row r="102" spans="1:20" x14ac:dyDescent="0.35">
      <c r="A102" s="2">
        <v>5</v>
      </c>
      <c r="B102">
        <v>1</v>
      </c>
      <c r="C102">
        <v>2</v>
      </c>
      <c r="D102">
        <v>4</v>
      </c>
      <c r="E102">
        <v>5</v>
      </c>
      <c r="F102">
        <v>5</v>
      </c>
      <c r="H102" s="2">
        <v>5</v>
      </c>
      <c r="I102" s="4">
        <v>1.2500000000000001E-2</v>
      </c>
      <c r="J102" s="4">
        <v>2.0833333333333332E-2</v>
      </c>
      <c r="K102" s="4">
        <v>4.2105263157894736E-2</v>
      </c>
      <c r="L102" s="4">
        <v>5.1546391752577317E-2</v>
      </c>
      <c r="M102" s="4">
        <v>5.6818181818181816E-2</v>
      </c>
      <c r="N102" s="6"/>
      <c r="O102" s="2" t="s">
        <v>1</v>
      </c>
      <c r="P102">
        <v>3.6329113924050631</v>
      </c>
      <c r="Q102">
        <v>3.5531914893617023</v>
      </c>
      <c r="R102">
        <v>3.5274725274725274</v>
      </c>
      <c r="S102">
        <v>3.6956521739130435</v>
      </c>
      <c r="T102">
        <v>3.5421686746987953</v>
      </c>
    </row>
    <row r="103" spans="1:20" x14ac:dyDescent="0.35">
      <c r="A103" s="2" t="s">
        <v>1</v>
      </c>
      <c r="B103">
        <v>80</v>
      </c>
      <c r="C103">
        <v>96</v>
      </c>
      <c r="D103">
        <v>95</v>
      </c>
      <c r="E103">
        <v>97</v>
      </c>
      <c r="F103">
        <v>88</v>
      </c>
      <c r="H103" s="2" t="s">
        <v>1</v>
      </c>
      <c r="I103" s="4">
        <v>1</v>
      </c>
      <c r="J103" s="4">
        <v>1</v>
      </c>
      <c r="K103" s="4">
        <v>1</v>
      </c>
      <c r="L103" s="4">
        <v>1</v>
      </c>
      <c r="M103" s="4">
        <v>1</v>
      </c>
      <c r="N103" s="6"/>
    </row>
    <row r="107" spans="1:20" x14ac:dyDescent="0.35">
      <c r="A107" s="7" t="s">
        <v>44</v>
      </c>
      <c r="O107" s="7"/>
    </row>
    <row r="108" spans="1:20" x14ac:dyDescent="0.35">
      <c r="A108" s="1" t="s">
        <v>50</v>
      </c>
      <c r="B108" s="1" t="s">
        <v>23</v>
      </c>
      <c r="H108" s="1" t="s">
        <v>50</v>
      </c>
      <c r="I108" s="1" t="s">
        <v>23</v>
      </c>
      <c r="O108" s="1" t="s">
        <v>52</v>
      </c>
      <c r="P108" s="1" t="s">
        <v>23</v>
      </c>
    </row>
    <row r="109" spans="1:20" x14ac:dyDescent="0.35">
      <c r="A109" s="1" t="s">
        <v>17</v>
      </c>
      <c r="B109">
        <v>2019</v>
      </c>
      <c r="C109">
        <v>2020</v>
      </c>
      <c r="D109">
        <v>2021</v>
      </c>
      <c r="E109">
        <v>2022</v>
      </c>
      <c r="F109">
        <v>2023</v>
      </c>
      <c r="H109" s="1" t="s">
        <v>17</v>
      </c>
      <c r="I109">
        <v>2019</v>
      </c>
      <c r="J109">
        <v>2020</v>
      </c>
      <c r="K109">
        <v>2021</v>
      </c>
      <c r="L109">
        <v>2022</v>
      </c>
      <c r="M109">
        <v>2023</v>
      </c>
      <c r="O109" s="1" t="s">
        <v>17</v>
      </c>
      <c r="P109">
        <v>2019</v>
      </c>
      <c r="Q109">
        <v>2020</v>
      </c>
      <c r="R109">
        <v>2021</v>
      </c>
      <c r="S109">
        <v>2022</v>
      </c>
      <c r="T109">
        <v>2023</v>
      </c>
    </row>
    <row r="110" spans="1:20" x14ac:dyDescent="0.35">
      <c r="A110" s="2">
        <v>1</v>
      </c>
      <c r="B110">
        <v>1</v>
      </c>
      <c r="C110">
        <v>8</v>
      </c>
      <c r="D110">
        <v>9</v>
      </c>
      <c r="E110">
        <v>8</v>
      </c>
      <c r="F110">
        <v>7</v>
      </c>
      <c r="H110" s="2">
        <v>1</v>
      </c>
      <c r="I110" s="4">
        <v>1.3513513513513514E-2</v>
      </c>
      <c r="J110" s="4">
        <v>8.3333333333333329E-2</v>
      </c>
      <c r="K110" s="4">
        <v>9.7826086956521743E-2</v>
      </c>
      <c r="L110" s="4">
        <v>8.247422680412371E-2</v>
      </c>
      <c r="M110" s="4">
        <v>7.9545454545454544E-2</v>
      </c>
      <c r="N110" s="6"/>
      <c r="O110" s="2">
        <v>1</v>
      </c>
      <c r="P110">
        <v>1</v>
      </c>
      <c r="Q110">
        <v>1</v>
      </c>
      <c r="R110">
        <v>1</v>
      </c>
      <c r="S110">
        <v>1</v>
      </c>
      <c r="T110">
        <v>1</v>
      </c>
    </row>
    <row r="111" spans="1:20" x14ac:dyDescent="0.35">
      <c r="A111" s="2">
        <v>2</v>
      </c>
      <c r="B111">
        <v>5</v>
      </c>
      <c r="C111">
        <v>4</v>
      </c>
      <c r="D111">
        <v>3</v>
      </c>
      <c r="E111">
        <v>5</v>
      </c>
      <c r="F111">
        <v>6</v>
      </c>
      <c r="H111" s="2">
        <v>2</v>
      </c>
      <c r="I111" s="4">
        <v>6.7567567567567571E-2</v>
      </c>
      <c r="J111" s="4">
        <v>4.1666666666666664E-2</v>
      </c>
      <c r="K111" s="4">
        <v>3.2608695652173912E-2</v>
      </c>
      <c r="L111" s="4">
        <v>5.1546391752577317E-2</v>
      </c>
      <c r="M111" s="4">
        <v>6.8181818181818177E-2</v>
      </c>
      <c r="N111" s="6"/>
      <c r="O111" s="2">
        <v>2</v>
      </c>
      <c r="P111">
        <v>2</v>
      </c>
      <c r="Q111">
        <v>2</v>
      </c>
      <c r="R111">
        <v>2</v>
      </c>
      <c r="S111">
        <v>2</v>
      </c>
      <c r="T111">
        <v>2</v>
      </c>
    </row>
    <row r="112" spans="1:20" x14ac:dyDescent="0.35">
      <c r="A112" s="2">
        <v>3</v>
      </c>
      <c r="B112">
        <v>14</v>
      </c>
      <c r="C112">
        <v>24</v>
      </c>
      <c r="D112">
        <v>19</v>
      </c>
      <c r="E112">
        <v>17</v>
      </c>
      <c r="F112">
        <v>18</v>
      </c>
      <c r="H112" s="2">
        <v>3</v>
      </c>
      <c r="I112" s="4">
        <v>0.1891891891891892</v>
      </c>
      <c r="J112" s="4">
        <v>0.25</v>
      </c>
      <c r="K112" s="4">
        <v>0.20652173913043478</v>
      </c>
      <c r="L112" s="4">
        <v>0.17525773195876287</v>
      </c>
      <c r="M112" s="4">
        <v>0.20454545454545456</v>
      </c>
      <c r="N112" s="6"/>
      <c r="O112" s="2">
        <v>3</v>
      </c>
      <c r="P112">
        <v>3</v>
      </c>
      <c r="Q112">
        <v>3</v>
      </c>
      <c r="R112">
        <v>3</v>
      </c>
      <c r="S112">
        <v>3</v>
      </c>
      <c r="T112">
        <v>3</v>
      </c>
    </row>
    <row r="113" spans="1:21" x14ac:dyDescent="0.35">
      <c r="A113" s="2">
        <v>4</v>
      </c>
      <c r="B113">
        <v>48</v>
      </c>
      <c r="C113">
        <v>50</v>
      </c>
      <c r="D113">
        <v>53</v>
      </c>
      <c r="E113">
        <v>53</v>
      </c>
      <c r="F113">
        <v>48</v>
      </c>
      <c r="H113" s="2">
        <v>4</v>
      </c>
      <c r="I113" s="4">
        <v>0.64864864864864868</v>
      </c>
      <c r="J113" s="4">
        <v>0.52083333333333337</v>
      </c>
      <c r="K113" s="4">
        <v>0.57608695652173914</v>
      </c>
      <c r="L113" s="4">
        <v>0.54639175257731953</v>
      </c>
      <c r="M113" s="4">
        <v>0.54545454545454541</v>
      </c>
      <c r="N113" s="6"/>
      <c r="O113" s="2">
        <v>4</v>
      </c>
      <c r="P113">
        <v>4</v>
      </c>
      <c r="Q113">
        <v>4</v>
      </c>
      <c r="R113">
        <v>4</v>
      </c>
      <c r="S113">
        <v>4</v>
      </c>
      <c r="T113">
        <v>4</v>
      </c>
    </row>
    <row r="114" spans="1:21" x14ac:dyDescent="0.35">
      <c r="A114" s="2">
        <v>5</v>
      </c>
      <c r="B114">
        <v>6</v>
      </c>
      <c r="C114">
        <v>10</v>
      </c>
      <c r="D114">
        <v>8</v>
      </c>
      <c r="E114">
        <v>14</v>
      </c>
      <c r="F114">
        <v>9</v>
      </c>
      <c r="H114" s="2">
        <v>5</v>
      </c>
      <c r="I114" s="4">
        <v>8.1081081081081086E-2</v>
      </c>
      <c r="J114" s="4">
        <v>0.10416666666666667</v>
      </c>
      <c r="K114" s="4">
        <v>8.6956521739130432E-2</v>
      </c>
      <c r="L114" s="4">
        <v>0.14432989690721648</v>
      </c>
      <c r="M114" s="4">
        <v>0.10227272727272728</v>
      </c>
      <c r="N114" s="6"/>
      <c r="O114" s="2" t="s">
        <v>1</v>
      </c>
      <c r="P114">
        <v>3.6029411764705883</v>
      </c>
      <c r="Q114">
        <v>3.3488372093023258</v>
      </c>
      <c r="R114">
        <v>3.3809523809523809</v>
      </c>
      <c r="S114">
        <v>3.3855421686746987</v>
      </c>
      <c r="T114">
        <v>3.3544303797468356</v>
      </c>
    </row>
    <row r="115" spans="1:21" x14ac:dyDescent="0.35">
      <c r="A115" s="2" t="s">
        <v>1</v>
      </c>
      <c r="B115">
        <v>74</v>
      </c>
      <c r="C115">
        <v>96</v>
      </c>
      <c r="D115">
        <v>92</v>
      </c>
      <c r="E115">
        <v>97</v>
      </c>
      <c r="F115">
        <v>88</v>
      </c>
      <c r="H115" s="2" t="s">
        <v>1</v>
      </c>
      <c r="I115" s="4">
        <v>1</v>
      </c>
      <c r="J115" s="4">
        <v>1</v>
      </c>
      <c r="K115" s="4">
        <v>1</v>
      </c>
      <c r="L115" s="4">
        <v>1</v>
      </c>
      <c r="M115" s="4">
        <v>1</v>
      </c>
      <c r="N115" s="6"/>
    </row>
    <row r="116" spans="1:21" x14ac:dyDescent="0.35">
      <c r="P116" s="3"/>
    </row>
    <row r="117" spans="1:21" x14ac:dyDescent="0.35">
      <c r="Q117" s="3"/>
    </row>
    <row r="118" spans="1:21" x14ac:dyDescent="0.35">
      <c r="A118" s="7" t="s">
        <v>55</v>
      </c>
      <c r="Q118" s="3"/>
    </row>
    <row r="119" spans="1:21" x14ac:dyDescent="0.35">
      <c r="A119" s="1" t="s">
        <v>78</v>
      </c>
      <c r="B119" s="1" t="s">
        <v>23</v>
      </c>
      <c r="I119" s="1" t="s">
        <v>78</v>
      </c>
      <c r="J119" s="1" t="s">
        <v>23</v>
      </c>
      <c r="P119" s="7"/>
    </row>
    <row r="120" spans="1:21" x14ac:dyDescent="0.35">
      <c r="A120" s="1" t="s">
        <v>17</v>
      </c>
      <c r="B120">
        <v>2019</v>
      </c>
      <c r="C120">
        <v>2020</v>
      </c>
      <c r="D120">
        <v>2021</v>
      </c>
      <c r="E120">
        <v>2022</v>
      </c>
      <c r="F120">
        <v>2023</v>
      </c>
      <c r="I120" s="1" t="s">
        <v>17</v>
      </c>
      <c r="J120">
        <v>2019</v>
      </c>
      <c r="K120">
        <v>2020</v>
      </c>
      <c r="L120">
        <v>2021</v>
      </c>
      <c r="M120">
        <v>2022</v>
      </c>
      <c r="N120">
        <v>2023</v>
      </c>
      <c r="P120" s="1" t="s">
        <v>79</v>
      </c>
      <c r="Q120" s="1" t="s">
        <v>23</v>
      </c>
    </row>
    <row r="121" spans="1:21" x14ac:dyDescent="0.35">
      <c r="A121" s="2">
        <v>1</v>
      </c>
      <c r="B121">
        <v>2</v>
      </c>
      <c r="C121">
        <v>2</v>
      </c>
      <c r="D121">
        <v>2</v>
      </c>
      <c r="F121">
        <v>1</v>
      </c>
      <c r="I121" s="2">
        <v>1</v>
      </c>
      <c r="J121" s="4">
        <v>2.6666666666666668E-2</v>
      </c>
      <c r="K121" s="4">
        <v>2.0618556701030927E-2</v>
      </c>
      <c r="L121" s="4">
        <v>2.1505376344086023E-2</v>
      </c>
      <c r="M121" s="4">
        <v>0</v>
      </c>
      <c r="N121" s="4">
        <v>1.1363636363636364E-2</v>
      </c>
      <c r="P121" s="1" t="s">
        <v>17</v>
      </c>
      <c r="Q121">
        <v>2019</v>
      </c>
      <c r="R121">
        <v>2020</v>
      </c>
      <c r="S121">
        <v>2021</v>
      </c>
      <c r="T121">
        <v>2022</v>
      </c>
      <c r="U121">
        <v>2023</v>
      </c>
    </row>
    <row r="122" spans="1:21" x14ac:dyDescent="0.35">
      <c r="A122" s="2">
        <v>2</v>
      </c>
      <c r="B122">
        <v>1</v>
      </c>
      <c r="C122">
        <v>5</v>
      </c>
      <c r="D122">
        <v>2</v>
      </c>
      <c r="F122">
        <v>3</v>
      </c>
      <c r="I122" s="2">
        <v>2</v>
      </c>
      <c r="J122" s="4">
        <v>1.3333333333333334E-2</v>
      </c>
      <c r="K122" s="4">
        <v>5.1546391752577317E-2</v>
      </c>
      <c r="L122" s="4">
        <v>2.1505376344086023E-2</v>
      </c>
      <c r="M122" s="4">
        <v>0</v>
      </c>
      <c r="N122" s="4">
        <v>3.4090909090909088E-2</v>
      </c>
      <c r="P122" s="2">
        <v>1</v>
      </c>
      <c r="Q122">
        <v>1</v>
      </c>
      <c r="R122">
        <v>1</v>
      </c>
      <c r="S122">
        <v>1</v>
      </c>
      <c r="U122">
        <v>1</v>
      </c>
    </row>
    <row r="123" spans="1:21" x14ac:dyDescent="0.35">
      <c r="A123" s="2">
        <v>3</v>
      </c>
      <c r="B123">
        <v>20</v>
      </c>
      <c r="C123">
        <v>37</v>
      </c>
      <c r="D123">
        <v>28</v>
      </c>
      <c r="E123">
        <v>25</v>
      </c>
      <c r="F123">
        <v>21</v>
      </c>
      <c r="I123" s="2">
        <v>3</v>
      </c>
      <c r="J123" s="4">
        <v>0.26666666666666666</v>
      </c>
      <c r="K123" s="4">
        <v>0.38144329896907214</v>
      </c>
      <c r="L123" s="4">
        <v>0.30107526881720431</v>
      </c>
      <c r="M123" s="4">
        <v>0.25510204081632654</v>
      </c>
      <c r="N123" s="4">
        <v>0.23863636363636365</v>
      </c>
      <c r="P123" s="2">
        <v>2</v>
      </c>
      <c r="Q123">
        <v>2</v>
      </c>
      <c r="R123">
        <v>2</v>
      </c>
      <c r="S123">
        <v>2</v>
      </c>
      <c r="U123">
        <v>2</v>
      </c>
    </row>
    <row r="124" spans="1:21" x14ac:dyDescent="0.35">
      <c r="A124" s="2">
        <v>4</v>
      </c>
      <c r="B124">
        <v>47</v>
      </c>
      <c r="C124">
        <v>50</v>
      </c>
      <c r="D124">
        <v>54</v>
      </c>
      <c r="E124">
        <v>69</v>
      </c>
      <c r="F124">
        <v>60</v>
      </c>
      <c r="I124" s="2">
        <v>4</v>
      </c>
      <c r="J124" s="4">
        <v>0.62666666666666671</v>
      </c>
      <c r="K124" s="4">
        <v>0.51546391752577314</v>
      </c>
      <c r="L124" s="4">
        <v>0.58064516129032262</v>
      </c>
      <c r="M124" s="4">
        <v>0.70408163265306123</v>
      </c>
      <c r="N124" s="4">
        <v>0.68181818181818177</v>
      </c>
      <c r="P124" s="2">
        <v>3</v>
      </c>
      <c r="Q124">
        <v>3</v>
      </c>
      <c r="R124">
        <v>3</v>
      </c>
      <c r="S124">
        <v>3</v>
      </c>
      <c r="T124">
        <v>3</v>
      </c>
      <c r="U124">
        <v>3</v>
      </c>
    </row>
    <row r="125" spans="1:21" x14ac:dyDescent="0.35">
      <c r="A125" s="2" t="s">
        <v>77</v>
      </c>
      <c r="I125" s="2">
        <v>5</v>
      </c>
      <c r="J125" s="4">
        <v>6.6666666666666666E-2</v>
      </c>
      <c r="K125" s="4">
        <v>3.0927835051546393E-2</v>
      </c>
      <c r="L125" s="4">
        <v>7.5268817204301078E-2</v>
      </c>
      <c r="M125" s="4">
        <v>4.0816326530612242E-2</v>
      </c>
      <c r="N125" s="4">
        <v>3.4090909090909088E-2</v>
      </c>
      <c r="P125" s="2">
        <v>4</v>
      </c>
      <c r="Q125">
        <v>4</v>
      </c>
      <c r="R125">
        <v>4</v>
      </c>
      <c r="S125">
        <v>4</v>
      </c>
      <c r="T125">
        <v>4</v>
      </c>
      <c r="U125">
        <v>4</v>
      </c>
    </row>
    <row r="126" spans="1:21" x14ac:dyDescent="0.35">
      <c r="A126" s="2">
        <v>5</v>
      </c>
      <c r="B126">
        <v>5</v>
      </c>
      <c r="C126">
        <v>3</v>
      </c>
      <c r="D126">
        <v>7</v>
      </c>
      <c r="E126">
        <v>4</v>
      </c>
      <c r="F126">
        <v>3</v>
      </c>
      <c r="I126" s="2" t="s">
        <v>1</v>
      </c>
      <c r="J126" s="4">
        <v>1</v>
      </c>
      <c r="K126" s="4">
        <v>1</v>
      </c>
      <c r="L126" s="4">
        <v>1</v>
      </c>
      <c r="M126" s="4">
        <v>1</v>
      </c>
      <c r="N126" s="4">
        <v>1</v>
      </c>
      <c r="P126" s="2" t="s">
        <v>1</v>
      </c>
      <c r="Q126">
        <v>3.6</v>
      </c>
      <c r="R126">
        <v>3.4361702127659575</v>
      </c>
      <c r="S126">
        <v>3.558139534883721</v>
      </c>
      <c r="T126">
        <v>3.7340425531914891</v>
      </c>
      <c r="U126">
        <v>3.6470588235294117</v>
      </c>
    </row>
    <row r="127" spans="1:21" x14ac:dyDescent="0.35">
      <c r="A127" s="2" t="s">
        <v>1</v>
      </c>
      <c r="B127">
        <v>75</v>
      </c>
      <c r="C127">
        <v>97</v>
      </c>
      <c r="D127">
        <v>93</v>
      </c>
      <c r="E127">
        <v>98</v>
      </c>
      <c r="F127">
        <v>88</v>
      </c>
    </row>
    <row r="130" spans="1:21" x14ac:dyDescent="0.35">
      <c r="Q130" s="3"/>
    </row>
    <row r="131" spans="1:21" x14ac:dyDescent="0.35">
      <c r="A131" s="1" t="s">
        <v>80</v>
      </c>
      <c r="B131" s="1" t="s">
        <v>23</v>
      </c>
      <c r="I131" s="1" t="s">
        <v>80</v>
      </c>
      <c r="J131" s="1" t="s">
        <v>23</v>
      </c>
      <c r="P131" s="1" t="s">
        <v>81</v>
      </c>
      <c r="Q131" s="1" t="s">
        <v>23</v>
      </c>
    </row>
    <row r="132" spans="1:21" x14ac:dyDescent="0.35">
      <c r="A132" s="1" t="s">
        <v>17</v>
      </c>
      <c r="B132">
        <v>2019</v>
      </c>
      <c r="C132">
        <v>2020</v>
      </c>
      <c r="D132">
        <v>2021</v>
      </c>
      <c r="E132">
        <v>2022</v>
      </c>
      <c r="F132">
        <v>2023</v>
      </c>
      <c r="I132" s="1" t="s">
        <v>17</v>
      </c>
      <c r="J132">
        <v>2019</v>
      </c>
      <c r="K132">
        <v>2020</v>
      </c>
      <c r="L132">
        <v>2021</v>
      </c>
      <c r="M132">
        <v>2022</v>
      </c>
      <c r="N132">
        <v>2023</v>
      </c>
      <c r="P132" s="1" t="s">
        <v>17</v>
      </c>
      <c r="Q132">
        <v>2019</v>
      </c>
      <c r="R132">
        <v>2020</v>
      </c>
      <c r="S132">
        <v>2021</v>
      </c>
      <c r="T132">
        <v>2022</v>
      </c>
      <c r="U132">
        <v>2023</v>
      </c>
    </row>
    <row r="133" spans="1:21" x14ac:dyDescent="0.35">
      <c r="A133" s="2">
        <v>1</v>
      </c>
      <c r="B133">
        <v>1</v>
      </c>
      <c r="C133">
        <v>2</v>
      </c>
      <c r="D133">
        <v>4</v>
      </c>
      <c r="F133">
        <v>3</v>
      </c>
      <c r="I133" s="2">
        <v>1</v>
      </c>
      <c r="J133" s="4">
        <v>1.2658227848101266E-2</v>
      </c>
      <c r="K133" s="4">
        <v>2.1052631578947368E-2</v>
      </c>
      <c r="L133" s="4">
        <v>4.2553191489361701E-2</v>
      </c>
      <c r="M133" s="4">
        <v>0</v>
      </c>
      <c r="N133" s="4">
        <v>3.4482758620689655E-2</v>
      </c>
      <c r="O133" s="4"/>
      <c r="P133" s="2">
        <v>1</v>
      </c>
      <c r="Q133">
        <v>1</v>
      </c>
      <c r="R133">
        <v>1</v>
      </c>
      <c r="S133">
        <v>1</v>
      </c>
      <c r="U133">
        <v>1</v>
      </c>
    </row>
    <row r="134" spans="1:21" x14ac:dyDescent="0.35">
      <c r="A134" s="2">
        <v>2</v>
      </c>
      <c r="B134">
        <v>1</v>
      </c>
      <c r="C134">
        <v>1</v>
      </c>
      <c r="D134">
        <v>3</v>
      </c>
      <c r="E134">
        <v>2</v>
      </c>
      <c r="F134">
        <v>1</v>
      </c>
      <c r="I134" s="2">
        <v>2</v>
      </c>
      <c r="J134" s="4">
        <v>1.2658227848101266E-2</v>
      </c>
      <c r="K134" s="4">
        <v>1.0526315789473684E-2</v>
      </c>
      <c r="L134" s="4">
        <v>3.1914893617021274E-2</v>
      </c>
      <c r="M134" s="4">
        <v>2.0833333333333332E-2</v>
      </c>
      <c r="N134" s="4">
        <v>1.1494252873563218E-2</v>
      </c>
      <c r="O134" s="4"/>
      <c r="P134" s="2">
        <v>2</v>
      </c>
      <c r="Q134">
        <v>2</v>
      </c>
      <c r="R134">
        <v>2</v>
      </c>
      <c r="S134">
        <v>2</v>
      </c>
      <c r="T134">
        <v>2</v>
      </c>
      <c r="U134">
        <v>2</v>
      </c>
    </row>
    <row r="135" spans="1:21" x14ac:dyDescent="0.35">
      <c r="A135" s="2">
        <v>3</v>
      </c>
      <c r="B135">
        <v>25</v>
      </c>
      <c r="C135">
        <v>28</v>
      </c>
      <c r="D135">
        <v>30</v>
      </c>
      <c r="E135">
        <v>26</v>
      </c>
      <c r="F135">
        <v>24</v>
      </c>
      <c r="I135" s="2">
        <v>3</v>
      </c>
      <c r="J135" s="4">
        <v>0.31645569620253167</v>
      </c>
      <c r="K135" s="4">
        <v>0.29473684210526313</v>
      </c>
      <c r="L135" s="4">
        <v>0.31914893617021278</v>
      </c>
      <c r="M135" s="4">
        <v>0.27083333333333331</v>
      </c>
      <c r="N135" s="4">
        <v>0.27586206896551724</v>
      </c>
      <c r="O135" s="4"/>
      <c r="P135" s="2">
        <v>3</v>
      </c>
      <c r="Q135">
        <v>3</v>
      </c>
      <c r="R135">
        <v>3</v>
      </c>
      <c r="S135">
        <v>3</v>
      </c>
      <c r="T135">
        <v>3</v>
      </c>
      <c r="U135">
        <v>3</v>
      </c>
    </row>
    <row r="136" spans="1:21" x14ac:dyDescent="0.35">
      <c r="A136" s="2">
        <v>4</v>
      </c>
      <c r="B136">
        <v>50</v>
      </c>
      <c r="C136">
        <v>54</v>
      </c>
      <c r="D136">
        <v>50</v>
      </c>
      <c r="E136">
        <v>62</v>
      </c>
      <c r="F136">
        <v>58</v>
      </c>
      <c r="I136" s="2">
        <v>4</v>
      </c>
      <c r="J136" s="4">
        <v>0.63291139240506333</v>
      </c>
      <c r="K136" s="4">
        <v>0.56842105263157894</v>
      </c>
      <c r="L136" s="4">
        <v>0.53191489361702127</v>
      </c>
      <c r="M136" s="4">
        <v>0.64583333333333337</v>
      </c>
      <c r="N136" s="4">
        <v>0.66666666666666663</v>
      </c>
      <c r="O136" s="4"/>
      <c r="P136" s="2">
        <v>4</v>
      </c>
      <c r="Q136">
        <v>4</v>
      </c>
      <c r="R136">
        <v>4</v>
      </c>
      <c r="S136">
        <v>4</v>
      </c>
      <c r="T136">
        <v>4</v>
      </c>
      <c r="U136">
        <v>4</v>
      </c>
    </row>
    <row r="137" spans="1:21" x14ac:dyDescent="0.35">
      <c r="A137" s="2" t="s">
        <v>77</v>
      </c>
      <c r="I137" s="2" t="s">
        <v>77</v>
      </c>
      <c r="J137" s="4">
        <v>0</v>
      </c>
      <c r="K137" s="4">
        <v>0</v>
      </c>
      <c r="L137" s="4">
        <v>0</v>
      </c>
      <c r="M137" s="4">
        <v>0</v>
      </c>
      <c r="N137" s="6">
        <v>0</v>
      </c>
      <c r="O137" s="6"/>
      <c r="P137" s="2" t="s">
        <v>1</v>
      </c>
      <c r="Q137" s="13">
        <v>3.6103896103896105</v>
      </c>
      <c r="R137" s="13">
        <v>3.5764705882352943</v>
      </c>
      <c r="S137" s="13">
        <v>3.4482758620689653</v>
      </c>
      <c r="T137" s="13">
        <v>3.6666666666666665</v>
      </c>
      <c r="U137" s="13">
        <v>3.5930232558139537</v>
      </c>
    </row>
    <row r="138" spans="1:21" x14ac:dyDescent="0.35">
      <c r="A138" s="2">
        <v>5</v>
      </c>
      <c r="B138">
        <v>2</v>
      </c>
      <c r="C138">
        <v>10</v>
      </c>
      <c r="D138">
        <v>7</v>
      </c>
      <c r="E138">
        <v>6</v>
      </c>
      <c r="F138">
        <v>1</v>
      </c>
      <c r="I138" s="2">
        <v>5</v>
      </c>
      <c r="J138" s="4">
        <v>2.5316455696202531E-2</v>
      </c>
      <c r="K138" s="4">
        <v>0.10526315789473684</v>
      </c>
      <c r="L138" s="4">
        <v>7.4468085106382975E-2</v>
      </c>
      <c r="M138" s="4">
        <v>6.25E-2</v>
      </c>
      <c r="N138" s="6">
        <v>1.1494252873563218E-2</v>
      </c>
      <c r="O138" s="6"/>
    </row>
    <row r="139" spans="1:21" x14ac:dyDescent="0.35">
      <c r="A139" s="2" t="s">
        <v>1</v>
      </c>
      <c r="B139">
        <v>79</v>
      </c>
      <c r="C139">
        <v>95</v>
      </c>
      <c r="D139">
        <v>94</v>
      </c>
      <c r="E139">
        <v>96</v>
      </c>
      <c r="F139">
        <v>87</v>
      </c>
      <c r="I139" s="2" t="s">
        <v>1</v>
      </c>
      <c r="J139" s="4">
        <v>1</v>
      </c>
      <c r="K139" s="4">
        <v>1</v>
      </c>
      <c r="L139" s="4">
        <v>1</v>
      </c>
      <c r="M139" s="4">
        <v>1</v>
      </c>
      <c r="N139" s="6">
        <v>1</v>
      </c>
      <c r="O139" s="6"/>
    </row>
    <row r="142" spans="1:21" x14ac:dyDescent="0.35">
      <c r="A142" s="1" t="s">
        <v>84</v>
      </c>
      <c r="B142" s="1" t="s">
        <v>23</v>
      </c>
      <c r="I142" s="1" t="s">
        <v>84</v>
      </c>
      <c r="J142" s="1" t="s">
        <v>23</v>
      </c>
      <c r="P142" s="1" t="s">
        <v>85</v>
      </c>
      <c r="Q142" s="1" t="s">
        <v>23</v>
      </c>
    </row>
    <row r="143" spans="1:21" x14ac:dyDescent="0.35">
      <c r="A143" s="1" t="s">
        <v>17</v>
      </c>
      <c r="B143">
        <v>2019</v>
      </c>
      <c r="C143">
        <v>2020</v>
      </c>
      <c r="D143">
        <v>2021</v>
      </c>
      <c r="E143">
        <v>2022</v>
      </c>
      <c r="F143">
        <v>2023</v>
      </c>
      <c r="I143" s="1" t="s">
        <v>17</v>
      </c>
      <c r="J143">
        <v>2019</v>
      </c>
      <c r="K143">
        <v>2020</v>
      </c>
      <c r="L143">
        <v>2021</v>
      </c>
      <c r="M143">
        <v>2022</v>
      </c>
      <c r="N143">
        <v>2023</v>
      </c>
      <c r="P143" s="1" t="s">
        <v>17</v>
      </c>
      <c r="Q143">
        <v>2019</v>
      </c>
      <c r="R143">
        <v>2020</v>
      </c>
      <c r="S143">
        <v>2021</v>
      </c>
      <c r="T143">
        <v>2022</v>
      </c>
      <c r="U143">
        <v>2023</v>
      </c>
    </row>
    <row r="144" spans="1:21" x14ac:dyDescent="0.35">
      <c r="A144" s="2">
        <v>2</v>
      </c>
      <c r="B144">
        <v>4</v>
      </c>
      <c r="C144">
        <v>2</v>
      </c>
      <c r="D144">
        <v>5</v>
      </c>
      <c r="E144">
        <v>2</v>
      </c>
      <c r="F144">
        <v>5</v>
      </c>
      <c r="I144" s="2">
        <v>2</v>
      </c>
      <c r="J144" s="4">
        <v>5.0632911392405063E-2</v>
      </c>
      <c r="K144" s="4">
        <v>2.0833333333333332E-2</v>
      </c>
      <c r="L144" s="4">
        <v>5.3763440860215055E-2</v>
      </c>
      <c r="M144" s="4">
        <v>2.0833333333333332E-2</v>
      </c>
      <c r="N144" s="4">
        <v>5.6818181818181816E-2</v>
      </c>
      <c r="O144" s="4"/>
      <c r="P144" s="2">
        <v>2</v>
      </c>
      <c r="Q144">
        <v>2</v>
      </c>
      <c r="R144">
        <v>2</v>
      </c>
      <c r="S144">
        <v>2</v>
      </c>
      <c r="T144">
        <v>2</v>
      </c>
      <c r="U144">
        <v>2</v>
      </c>
    </row>
    <row r="145" spans="1:21" x14ac:dyDescent="0.35">
      <c r="A145" s="2">
        <v>3</v>
      </c>
      <c r="B145">
        <v>23</v>
      </c>
      <c r="C145">
        <v>31</v>
      </c>
      <c r="D145">
        <v>34</v>
      </c>
      <c r="E145">
        <v>29</v>
      </c>
      <c r="F145">
        <v>23</v>
      </c>
      <c r="I145" s="2">
        <v>3</v>
      </c>
      <c r="J145" s="4">
        <v>0.29113924050632911</v>
      </c>
      <c r="K145" s="4">
        <v>0.32291666666666669</v>
      </c>
      <c r="L145" s="4">
        <v>0.36559139784946237</v>
      </c>
      <c r="M145" s="4">
        <v>0.30208333333333331</v>
      </c>
      <c r="N145" s="4">
        <v>0.26136363636363635</v>
      </c>
      <c r="O145" s="4"/>
      <c r="P145" s="2">
        <v>3</v>
      </c>
      <c r="Q145">
        <v>3</v>
      </c>
      <c r="R145">
        <v>3</v>
      </c>
      <c r="S145">
        <v>3</v>
      </c>
      <c r="T145">
        <v>3</v>
      </c>
      <c r="U145">
        <v>3</v>
      </c>
    </row>
    <row r="146" spans="1:21" x14ac:dyDescent="0.35">
      <c r="A146" s="2">
        <v>4</v>
      </c>
      <c r="B146">
        <v>47</v>
      </c>
      <c r="C146">
        <v>52</v>
      </c>
      <c r="D146">
        <v>48</v>
      </c>
      <c r="E146">
        <v>61</v>
      </c>
      <c r="F146">
        <v>55</v>
      </c>
      <c r="I146" s="2">
        <v>4</v>
      </c>
      <c r="J146" s="4">
        <v>0.59493670886075944</v>
      </c>
      <c r="K146" s="4">
        <v>0.54166666666666663</v>
      </c>
      <c r="L146" s="4">
        <v>0.5161290322580645</v>
      </c>
      <c r="M146" s="4">
        <v>0.63541666666666663</v>
      </c>
      <c r="N146" s="4">
        <v>0.625</v>
      </c>
      <c r="O146" s="4"/>
      <c r="P146" s="2">
        <v>4</v>
      </c>
      <c r="Q146">
        <v>4</v>
      </c>
      <c r="R146">
        <v>4</v>
      </c>
      <c r="S146">
        <v>4</v>
      </c>
      <c r="T146">
        <v>4</v>
      </c>
      <c r="U146">
        <v>4</v>
      </c>
    </row>
    <row r="147" spans="1:21" x14ac:dyDescent="0.35">
      <c r="A147" s="2">
        <v>5</v>
      </c>
      <c r="B147">
        <v>5</v>
      </c>
      <c r="C147">
        <v>10</v>
      </c>
      <c r="D147">
        <v>5</v>
      </c>
      <c r="E147">
        <v>3</v>
      </c>
      <c r="F147">
        <v>3</v>
      </c>
      <c r="I147" s="2">
        <v>5</v>
      </c>
      <c r="J147" s="4">
        <v>6.3291139240506333E-2</v>
      </c>
      <c r="K147" s="4">
        <v>0.10416666666666667</v>
      </c>
      <c r="L147" s="4">
        <v>5.3763440860215055E-2</v>
      </c>
      <c r="M147" s="4">
        <v>3.125E-2</v>
      </c>
      <c r="N147" s="4">
        <v>3.4090909090909088E-2</v>
      </c>
      <c r="O147" s="4"/>
      <c r="P147" s="2">
        <v>1</v>
      </c>
      <c r="R147">
        <v>1</v>
      </c>
      <c r="S147">
        <v>1</v>
      </c>
      <c r="T147">
        <v>1</v>
      </c>
      <c r="U147">
        <v>1</v>
      </c>
    </row>
    <row r="148" spans="1:21" x14ac:dyDescent="0.35">
      <c r="A148" s="2" t="s">
        <v>77</v>
      </c>
      <c r="I148" s="2" t="s">
        <v>77</v>
      </c>
      <c r="J148" s="4">
        <v>0</v>
      </c>
      <c r="K148" s="4">
        <v>0</v>
      </c>
      <c r="L148" s="4">
        <v>0</v>
      </c>
      <c r="M148" s="4">
        <v>0</v>
      </c>
      <c r="N148" s="4">
        <v>0</v>
      </c>
      <c r="O148" s="4"/>
      <c r="P148" s="2" t="s">
        <v>1</v>
      </c>
      <c r="Q148" s="13">
        <v>3.5810810810810811</v>
      </c>
      <c r="R148" s="13">
        <v>3.558139534883721</v>
      </c>
      <c r="S148" s="13">
        <v>3.4659090909090908</v>
      </c>
      <c r="T148" s="13">
        <v>3.6129032258064515</v>
      </c>
      <c r="U148" s="13">
        <v>3.5411764705882351</v>
      </c>
    </row>
    <row r="149" spans="1:21" x14ac:dyDescent="0.35">
      <c r="A149" s="2">
        <v>1</v>
      </c>
      <c r="C149">
        <v>1</v>
      </c>
      <c r="D149">
        <v>1</v>
      </c>
      <c r="E149">
        <v>1</v>
      </c>
      <c r="F149">
        <v>2</v>
      </c>
      <c r="I149" s="2">
        <v>1</v>
      </c>
      <c r="J149" s="4">
        <v>0</v>
      </c>
      <c r="K149" s="4">
        <v>1.0416666666666666E-2</v>
      </c>
      <c r="L149" s="4">
        <v>1.0752688172043012E-2</v>
      </c>
      <c r="M149" s="4">
        <v>1.0416666666666666E-2</v>
      </c>
      <c r="N149" s="4">
        <v>2.2727272727272728E-2</v>
      </c>
      <c r="O149" s="4"/>
    </row>
    <row r="150" spans="1:21" x14ac:dyDescent="0.35">
      <c r="A150" s="2" t="s">
        <v>1</v>
      </c>
      <c r="B150">
        <v>79</v>
      </c>
      <c r="C150">
        <v>96</v>
      </c>
      <c r="D150">
        <v>93</v>
      </c>
      <c r="E150">
        <v>96</v>
      </c>
      <c r="F150">
        <v>88</v>
      </c>
      <c r="I150" s="2" t="s">
        <v>1</v>
      </c>
      <c r="J150" s="4">
        <v>1</v>
      </c>
      <c r="K150" s="4">
        <v>1</v>
      </c>
      <c r="L150" s="4">
        <v>1</v>
      </c>
      <c r="M150" s="4">
        <v>1</v>
      </c>
      <c r="N150" s="6">
        <v>1</v>
      </c>
      <c r="O150" s="6"/>
    </row>
    <row r="151" spans="1:21" x14ac:dyDescent="0.35">
      <c r="A151" s="2"/>
      <c r="I151" s="2"/>
      <c r="J151" s="6"/>
      <c r="K151" s="6"/>
      <c r="L151" s="6"/>
      <c r="M151" s="6"/>
      <c r="N151" s="6"/>
      <c r="O151" s="6"/>
    </row>
    <row r="153" spans="1:21" x14ac:dyDescent="0.35">
      <c r="A153" s="1" t="s">
        <v>82</v>
      </c>
      <c r="B153" s="1" t="s">
        <v>23</v>
      </c>
      <c r="I153" s="1" t="s">
        <v>82</v>
      </c>
      <c r="J153" s="1" t="s">
        <v>23</v>
      </c>
      <c r="P153" s="1" t="s">
        <v>83</v>
      </c>
      <c r="Q153" s="1" t="s">
        <v>23</v>
      </c>
    </row>
    <row r="154" spans="1:21" x14ac:dyDescent="0.35">
      <c r="A154" s="1" t="s">
        <v>17</v>
      </c>
      <c r="B154">
        <v>2019</v>
      </c>
      <c r="C154">
        <v>2020</v>
      </c>
      <c r="D154">
        <v>2021</v>
      </c>
      <c r="E154">
        <v>2022</v>
      </c>
      <c r="F154">
        <v>2023</v>
      </c>
      <c r="I154" s="1" t="s">
        <v>17</v>
      </c>
      <c r="J154">
        <v>2019</v>
      </c>
      <c r="K154">
        <v>2020</v>
      </c>
      <c r="L154">
        <v>2021</v>
      </c>
      <c r="M154">
        <v>2022</v>
      </c>
      <c r="N154">
        <v>2023</v>
      </c>
      <c r="P154" s="1" t="s">
        <v>17</v>
      </c>
      <c r="Q154">
        <v>2019</v>
      </c>
      <c r="R154">
        <v>2020</v>
      </c>
      <c r="S154">
        <v>2021</v>
      </c>
      <c r="T154">
        <v>2022</v>
      </c>
      <c r="U154">
        <v>2023</v>
      </c>
    </row>
    <row r="155" spans="1:21" x14ac:dyDescent="0.35">
      <c r="A155" s="2">
        <v>1</v>
      </c>
      <c r="B155">
        <v>2</v>
      </c>
      <c r="D155">
        <v>1</v>
      </c>
      <c r="F155">
        <v>2</v>
      </c>
      <c r="I155" s="2">
        <v>1</v>
      </c>
      <c r="J155" s="4">
        <v>2.5974025974025976E-2</v>
      </c>
      <c r="K155" s="4">
        <v>0</v>
      </c>
      <c r="L155" s="4">
        <v>1.0752688172043012E-2</v>
      </c>
      <c r="M155" s="4">
        <v>0</v>
      </c>
      <c r="N155" s="4">
        <v>2.247191011235955E-2</v>
      </c>
      <c r="O155" s="4"/>
      <c r="P155" s="2">
        <v>1</v>
      </c>
      <c r="Q155">
        <v>1</v>
      </c>
      <c r="S155">
        <v>1</v>
      </c>
      <c r="U155">
        <v>1</v>
      </c>
    </row>
    <row r="156" spans="1:21" x14ac:dyDescent="0.35">
      <c r="A156" s="2">
        <v>2</v>
      </c>
      <c r="B156">
        <v>2</v>
      </c>
      <c r="C156">
        <v>2</v>
      </c>
      <c r="D156">
        <v>1</v>
      </c>
      <c r="E156">
        <v>2</v>
      </c>
      <c r="F156">
        <v>1</v>
      </c>
      <c r="I156" s="2">
        <v>2</v>
      </c>
      <c r="J156" s="4">
        <v>2.5974025974025976E-2</v>
      </c>
      <c r="K156" s="4">
        <v>2.0833333333333332E-2</v>
      </c>
      <c r="L156" s="4">
        <v>1.0752688172043012E-2</v>
      </c>
      <c r="M156" s="4">
        <v>2.0618556701030927E-2</v>
      </c>
      <c r="N156" s="4">
        <v>1.1235955056179775E-2</v>
      </c>
      <c r="O156" s="4"/>
      <c r="P156" s="2">
        <v>2</v>
      </c>
      <c r="Q156">
        <v>2</v>
      </c>
      <c r="R156">
        <v>2</v>
      </c>
      <c r="S156">
        <v>2</v>
      </c>
      <c r="T156">
        <v>2</v>
      </c>
      <c r="U156">
        <v>2</v>
      </c>
    </row>
    <row r="157" spans="1:21" x14ac:dyDescent="0.35">
      <c r="A157" s="2">
        <v>3</v>
      </c>
      <c r="B157">
        <v>23</v>
      </c>
      <c r="C157">
        <v>27</v>
      </c>
      <c r="D157">
        <v>30</v>
      </c>
      <c r="E157">
        <v>16</v>
      </c>
      <c r="F157">
        <v>21</v>
      </c>
      <c r="I157" s="2">
        <v>3</v>
      </c>
      <c r="J157" s="4">
        <v>0.29870129870129869</v>
      </c>
      <c r="K157" s="4">
        <v>0.28125</v>
      </c>
      <c r="L157" s="4">
        <v>0.32258064516129031</v>
      </c>
      <c r="M157" s="4">
        <v>0.16494845360824742</v>
      </c>
      <c r="N157" s="4">
        <v>0.23595505617977527</v>
      </c>
      <c r="O157" s="4"/>
      <c r="P157" s="2">
        <v>3</v>
      </c>
      <c r="Q157">
        <v>3</v>
      </c>
      <c r="R157">
        <v>3</v>
      </c>
      <c r="S157">
        <v>3</v>
      </c>
      <c r="T157">
        <v>3</v>
      </c>
      <c r="U157">
        <v>3</v>
      </c>
    </row>
    <row r="158" spans="1:21" x14ac:dyDescent="0.35">
      <c r="A158" s="2">
        <v>4</v>
      </c>
      <c r="B158">
        <v>46</v>
      </c>
      <c r="C158">
        <v>60</v>
      </c>
      <c r="D158">
        <v>56</v>
      </c>
      <c r="E158">
        <v>78</v>
      </c>
      <c r="F158">
        <v>62</v>
      </c>
      <c r="I158" s="2">
        <v>4</v>
      </c>
      <c r="J158" s="4">
        <v>0.59740259740259738</v>
      </c>
      <c r="K158" s="4">
        <v>0.625</v>
      </c>
      <c r="L158" s="4">
        <v>0.60215053763440862</v>
      </c>
      <c r="M158" s="4">
        <v>0.80412371134020622</v>
      </c>
      <c r="N158" s="4">
        <v>0.6966292134831461</v>
      </c>
      <c r="O158" s="4"/>
      <c r="P158" s="2">
        <v>4</v>
      </c>
      <c r="Q158">
        <v>4</v>
      </c>
      <c r="R158">
        <v>4</v>
      </c>
      <c r="S158">
        <v>4</v>
      </c>
      <c r="T158">
        <v>4</v>
      </c>
      <c r="U158">
        <v>4</v>
      </c>
    </row>
    <row r="159" spans="1:21" x14ac:dyDescent="0.35">
      <c r="A159" s="2">
        <v>5</v>
      </c>
      <c r="B159">
        <v>4</v>
      </c>
      <c r="C159">
        <v>7</v>
      </c>
      <c r="D159">
        <v>5</v>
      </c>
      <c r="E159">
        <v>1</v>
      </c>
      <c r="F159">
        <v>3</v>
      </c>
      <c r="I159" s="2">
        <v>5</v>
      </c>
      <c r="J159" s="4">
        <v>5.1948051948051951E-2</v>
      </c>
      <c r="K159" s="4">
        <v>7.2916666666666671E-2</v>
      </c>
      <c r="L159" s="4">
        <v>5.3763440860215055E-2</v>
      </c>
      <c r="M159" s="4">
        <v>1.0309278350515464E-2</v>
      </c>
      <c r="N159" s="4">
        <v>3.3707865168539325E-2</v>
      </c>
      <c r="O159" s="4"/>
      <c r="P159" s="2" t="s">
        <v>1</v>
      </c>
      <c r="Q159" s="13">
        <v>3.547945205479452</v>
      </c>
      <c r="R159" s="13">
        <v>3.6516853932584268</v>
      </c>
      <c r="S159" s="13">
        <v>3.6022727272727271</v>
      </c>
      <c r="T159" s="13">
        <v>3.7916666666666665</v>
      </c>
      <c r="U159" s="13">
        <v>3.6627906976744184</v>
      </c>
    </row>
    <row r="160" spans="1:21" x14ac:dyDescent="0.35">
      <c r="A160" s="2" t="s">
        <v>77</v>
      </c>
      <c r="I160" s="2" t="s">
        <v>77</v>
      </c>
      <c r="J160" s="4">
        <v>0</v>
      </c>
      <c r="K160" s="4">
        <v>0</v>
      </c>
      <c r="L160" s="4">
        <v>0</v>
      </c>
      <c r="M160" s="4">
        <v>0</v>
      </c>
      <c r="N160" s="4">
        <v>0</v>
      </c>
      <c r="O160" s="4"/>
    </row>
    <row r="161" spans="1:21" x14ac:dyDescent="0.35">
      <c r="A161" s="2" t="s">
        <v>1</v>
      </c>
      <c r="B161">
        <v>77</v>
      </c>
      <c r="C161">
        <v>96</v>
      </c>
      <c r="D161">
        <v>93</v>
      </c>
      <c r="E161">
        <v>97</v>
      </c>
      <c r="F161">
        <v>89</v>
      </c>
      <c r="I161" s="2" t="s">
        <v>1</v>
      </c>
      <c r="J161" s="4">
        <v>1</v>
      </c>
      <c r="K161" s="4">
        <v>1</v>
      </c>
      <c r="L161" s="4">
        <v>1</v>
      </c>
      <c r="M161" s="4">
        <v>1</v>
      </c>
      <c r="N161" s="6">
        <v>1</v>
      </c>
      <c r="O161" s="6"/>
    </row>
    <row r="164" spans="1:21" x14ac:dyDescent="0.35">
      <c r="A164" s="1" t="s">
        <v>86</v>
      </c>
      <c r="B164" s="1" t="s">
        <v>23</v>
      </c>
      <c r="I164" s="1" t="s">
        <v>86</v>
      </c>
      <c r="J164" s="1" t="s">
        <v>23</v>
      </c>
      <c r="P164" s="1" t="s">
        <v>87</v>
      </c>
      <c r="Q164" s="1" t="s">
        <v>23</v>
      </c>
    </row>
    <row r="165" spans="1:21" x14ac:dyDescent="0.35">
      <c r="A165" s="1" t="s">
        <v>17</v>
      </c>
      <c r="B165">
        <v>2019</v>
      </c>
      <c r="C165">
        <v>2020</v>
      </c>
      <c r="D165">
        <v>2021</v>
      </c>
      <c r="E165">
        <v>2022</v>
      </c>
      <c r="F165">
        <v>2023</v>
      </c>
      <c r="I165" s="1" t="s">
        <v>17</v>
      </c>
      <c r="J165">
        <v>2019</v>
      </c>
      <c r="K165">
        <v>2020</v>
      </c>
      <c r="L165">
        <v>2021</v>
      </c>
      <c r="M165">
        <v>2022</v>
      </c>
      <c r="N165">
        <v>2023</v>
      </c>
      <c r="P165" s="1" t="s">
        <v>17</v>
      </c>
      <c r="Q165">
        <v>2019</v>
      </c>
      <c r="R165">
        <v>2020</v>
      </c>
      <c r="S165">
        <v>2021</v>
      </c>
      <c r="T165">
        <v>2022</v>
      </c>
      <c r="U165">
        <v>2023</v>
      </c>
    </row>
    <row r="166" spans="1:21" x14ac:dyDescent="0.35">
      <c r="A166" s="2">
        <v>1</v>
      </c>
      <c r="B166">
        <v>1</v>
      </c>
      <c r="D166">
        <v>2</v>
      </c>
      <c r="E166">
        <v>1</v>
      </c>
      <c r="F166">
        <v>2</v>
      </c>
      <c r="I166" s="2">
        <v>1</v>
      </c>
      <c r="J166" s="4">
        <v>1.282051282051282E-2</v>
      </c>
      <c r="K166" s="4">
        <v>0</v>
      </c>
      <c r="L166" s="4">
        <v>2.1505376344086023E-2</v>
      </c>
      <c r="M166" s="4">
        <v>1.0416666666666666E-2</v>
      </c>
      <c r="N166" s="4">
        <v>2.2988505747126436E-2</v>
      </c>
      <c r="O166" s="4"/>
      <c r="P166" s="2">
        <v>1</v>
      </c>
      <c r="Q166">
        <v>1</v>
      </c>
      <c r="S166">
        <v>1</v>
      </c>
      <c r="T166">
        <v>1</v>
      </c>
      <c r="U166">
        <v>1</v>
      </c>
    </row>
    <row r="167" spans="1:21" x14ac:dyDescent="0.35">
      <c r="A167" s="2">
        <v>2</v>
      </c>
      <c r="B167">
        <v>2</v>
      </c>
      <c r="C167">
        <v>2</v>
      </c>
      <c r="D167">
        <v>3</v>
      </c>
      <c r="E167">
        <v>3</v>
      </c>
      <c r="F167">
        <v>5</v>
      </c>
      <c r="I167" s="2">
        <v>2</v>
      </c>
      <c r="J167" s="4">
        <v>2.564102564102564E-2</v>
      </c>
      <c r="K167" s="4">
        <v>2.1276595744680851E-2</v>
      </c>
      <c r="L167" s="4">
        <v>3.2258064516129031E-2</v>
      </c>
      <c r="M167" s="4">
        <v>3.125E-2</v>
      </c>
      <c r="N167" s="4">
        <v>5.7471264367816091E-2</v>
      </c>
      <c r="O167" s="4"/>
      <c r="P167" s="2">
        <v>2</v>
      </c>
      <c r="Q167">
        <v>2</v>
      </c>
      <c r="R167">
        <v>2</v>
      </c>
      <c r="S167">
        <v>2</v>
      </c>
      <c r="T167">
        <v>2</v>
      </c>
      <c r="U167">
        <v>2</v>
      </c>
    </row>
    <row r="168" spans="1:21" x14ac:dyDescent="0.35">
      <c r="A168" s="2">
        <v>3</v>
      </c>
      <c r="B168">
        <v>20</v>
      </c>
      <c r="C168">
        <v>33</v>
      </c>
      <c r="D168">
        <v>32</v>
      </c>
      <c r="E168">
        <v>27</v>
      </c>
      <c r="F168">
        <v>20</v>
      </c>
      <c r="I168" s="2">
        <v>3</v>
      </c>
      <c r="J168" s="4">
        <v>0.25641025641025639</v>
      </c>
      <c r="K168" s="4">
        <v>0.35106382978723405</v>
      </c>
      <c r="L168" s="4">
        <v>0.34408602150537637</v>
      </c>
      <c r="M168" s="4">
        <v>0.28125</v>
      </c>
      <c r="N168" s="4">
        <v>0.22988505747126436</v>
      </c>
      <c r="O168" s="4"/>
      <c r="P168" s="2">
        <v>3</v>
      </c>
      <c r="Q168">
        <v>3</v>
      </c>
      <c r="R168">
        <v>3</v>
      </c>
      <c r="S168">
        <v>3</v>
      </c>
      <c r="T168">
        <v>3</v>
      </c>
      <c r="U168">
        <v>3</v>
      </c>
    </row>
    <row r="169" spans="1:21" x14ac:dyDescent="0.35">
      <c r="A169" s="2">
        <v>4</v>
      </c>
      <c r="B169">
        <v>53</v>
      </c>
      <c r="C169">
        <v>56</v>
      </c>
      <c r="D169">
        <v>53</v>
      </c>
      <c r="E169">
        <v>62</v>
      </c>
      <c r="F169">
        <v>54</v>
      </c>
      <c r="I169" s="2">
        <v>4</v>
      </c>
      <c r="J169" s="4">
        <v>0.67948717948717952</v>
      </c>
      <c r="K169" s="4">
        <v>0.5957446808510638</v>
      </c>
      <c r="L169" s="4">
        <v>0.56989247311827962</v>
      </c>
      <c r="M169" s="4">
        <v>0.64583333333333337</v>
      </c>
      <c r="N169" s="4">
        <v>0.62068965517241381</v>
      </c>
      <c r="O169" s="4"/>
      <c r="P169" s="2">
        <v>4</v>
      </c>
      <c r="Q169">
        <v>4</v>
      </c>
      <c r="R169">
        <v>4</v>
      </c>
      <c r="S169">
        <v>4</v>
      </c>
      <c r="T169">
        <v>4</v>
      </c>
      <c r="U169">
        <v>4</v>
      </c>
    </row>
    <row r="170" spans="1:21" x14ac:dyDescent="0.35">
      <c r="A170" s="2">
        <v>5</v>
      </c>
      <c r="B170">
        <v>2</v>
      </c>
      <c r="C170">
        <v>3</v>
      </c>
      <c r="D170">
        <v>3</v>
      </c>
      <c r="E170">
        <v>3</v>
      </c>
      <c r="F170">
        <v>6</v>
      </c>
      <c r="I170" s="2">
        <v>5</v>
      </c>
      <c r="J170" s="4">
        <v>2.564102564102564E-2</v>
      </c>
      <c r="K170" s="4">
        <v>3.1914893617021274E-2</v>
      </c>
      <c r="L170" s="4">
        <v>3.2258064516129031E-2</v>
      </c>
      <c r="M170" s="4">
        <v>3.125E-2</v>
      </c>
      <c r="N170" s="4">
        <v>6.8965517241379309E-2</v>
      </c>
      <c r="O170" s="4"/>
      <c r="P170" s="2" t="s">
        <v>1</v>
      </c>
      <c r="Q170" s="13">
        <v>3.6447368421052633</v>
      </c>
      <c r="R170" s="13">
        <v>3.5934065934065935</v>
      </c>
      <c r="S170" s="13">
        <v>3.5111111111111111</v>
      </c>
      <c r="T170" s="13">
        <v>3.6129032258064515</v>
      </c>
      <c r="U170" s="13">
        <v>3.5555555555555554</v>
      </c>
    </row>
    <row r="171" spans="1:21" x14ac:dyDescent="0.35">
      <c r="A171" s="2" t="s">
        <v>77</v>
      </c>
      <c r="I171" s="2" t="s">
        <v>77</v>
      </c>
      <c r="J171" s="4">
        <v>0</v>
      </c>
      <c r="K171" s="4">
        <v>0</v>
      </c>
      <c r="L171" s="4">
        <v>0</v>
      </c>
      <c r="M171" s="4">
        <v>0</v>
      </c>
      <c r="N171" s="4">
        <v>0</v>
      </c>
      <c r="O171" s="4"/>
    </row>
    <row r="172" spans="1:21" x14ac:dyDescent="0.35">
      <c r="A172" s="2" t="s">
        <v>1</v>
      </c>
      <c r="B172">
        <v>78</v>
      </c>
      <c r="C172">
        <v>94</v>
      </c>
      <c r="D172">
        <v>93</v>
      </c>
      <c r="E172">
        <v>96</v>
      </c>
      <c r="F172">
        <v>87</v>
      </c>
      <c r="I172" s="2" t="s">
        <v>1</v>
      </c>
      <c r="J172" s="4">
        <v>1</v>
      </c>
      <c r="K172" s="4">
        <v>1</v>
      </c>
      <c r="L172" s="4">
        <v>1</v>
      </c>
      <c r="M172" s="4">
        <v>1</v>
      </c>
      <c r="N172" s="6">
        <v>1</v>
      </c>
      <c r="O172" s="6"/>
    </row>
    <row r="175" spans="1:21" x14ac:dyDescent="0.35">
      <c r="A175" s="1" t="s">
        <v>88</v>
      </c>
      <c r="B175" s="1" t="s">
        <v>23</v>
      </c>
      <c r="I175" s="1" t="s">
        <v>88</v>
      </c>
      <c r="J175" s="1" t="s">
        <v>23</v>
      </c>
      <c r="P175" s="1" t="s">
        <v>89</v>
      </c>
      <c r="Q175" s="1" t="s">
        <v>23</v>
      </c>
    </row>
    <row r="176" spans="1:21" x14ac:dyDescent="0.35">
      <c r="A176" s="1" t="s">
        <v>17</v>
      </c>
      <c r="B176">
        <v>2019</v>
      </c>
      <c r="C176">
        <v>2020</v>
      </c>
      <c r="D176">
        <v>2021</v>
      </c>
      <c r="E176">
        <v>2022</v>
      </c>
      <c r="F176">
        <v>2023</v>
      </c>
      <c r="I176" s="1" t="s">
        <v>17</v>
      </c>
      <c r="J176">
        <v>2019</v>
      </c>
      <c r="K176">
        <v>2020</v>
      </c>
      <c r="L176">
        <v>2021</v>
      </c>
      <c r="M176">
        <v>2022</v>
      </c>
      <c r="N176">
        <v>2023</v>
      </c>
      <c r="P176" s="1" t="s">
        <v>17</v>
      </c>
      <c r="Q176">
        <v>2019</v>
      </c>
      <c r="R176">
        <v>2020</v>
      </c>
      <c r="S176">
        <v>2021</v>
      </c>
      <c r="T176">
        <v>2022</v>
      </c>
      <c r="U176">
        <v>2023</v>
      </c>
    </row>
    <row r="177" spans="1:21" x14ac:dyDescent="0.35">
      <c r="A177" s="2">
        <v>2</v>
      </c>
      <c r="B177">
        <v>1</v>
      </c>
      <c r="C177">
        <v>1</v>
      </c>
      <c r="D177">
        <v>3</v>
      </c>
      <c r="E177">
        <v>2</v>
      </c>
      <c r="F177">
        <v>1</v>
      </c>
      <c r="I177" s="2">
        <v>2</v>
      </c>
      <c r="J177" s="4">
        <v>1.3333333333333334E-2</v>
      </c>
      <c r="K177" s="4">
        <v>1.0309278350515464E-2</v>
      </c>
      <c r="L177" s="4">
        <v>3.2258064516129031E-2</v>
      </c>
      <c r="M177" s="4">
        <v>2.1052631578947368E-2</v>
      </c>
      <c r="N177" s="4">
        <v>1.1235955056179775E-2</v>
      </c>
      <c r="O177" s="4"/>
      <c r="P177" s="2">
        <v>2</v>
      </c>
      <c r="Q177">
        <v>2</v>
      </c>
      <c r="R177">
        <v>2</v>
      </c>
      <c r="S177">
        <v>2</v>
      </c>
      <c r="T177">
        <v>2</v>
      </c>
      <c r="U177">
        <v>2</v>
      </c>
    </row>
    <row r="178" spans="1:21" x14ac:dyDescent="0.35">
      <c r="A178" s="2">
        <v>3</v>
      </c>
      <c r="B178">
        <v>18</v>
      </c>
      <c r="C178">
        <v>27</v>
      </c>
      <c r="D178">
        <v>19</v>
      </c>
      <c r="E178">
        <v>8</v>
      </c>
      <c r="F178">
        <v>17</v>
      </c>
      <c r="I178" s="2">
        <v>3</v>
      </c>
      <c r="J178" s="4">
        <v>0.24</v>
      </c>
      <c r="K178" s="4">
        <v>0.27835051546391754</v>
      </c>
      <c r="L178" s="4">
        <v>0.20430107526881722</v>
      </c>
      <c r="M178" s="4">
        <v>8.4210526315789472E-2</v>
      </c>
      <c r="N178" s="4">
        <v>0.19101123595505617</v>
      </c>
      <c r="O178" s="4"/>
      <c r="P178" s="2">
        <v>3</v>
      </c>
      <c r="Q178">
        <v>3</v>
      </c>
      <c r="R178">
        <v>3</v>
      </c>
      <c r="S178">
        <v>3</v>
      </c>
      <c r="T178">
        <v>3</v>
      </c>
      <c r="U178">
        <v>3</v>
      </c>
    </row>
    <row r="179" spans="1:21" x14ac:dyDescent="0.35">
      <c r="A179" s="2">
        <v>4</v>
      </c>
      <c r="B179">
        <v>54</v>
      </c>
      <c r="C179">
        <v>66</v>
      </c>
      <c r="D179">
        <v>61</v>
      </c>
      <c r="E179">
        <v>79</v>
      </c>
      <c r="F179">
        <v>68</v>
      </c>
      <c r="I179" s="2">
        <v>4</v>
      </c>
      <c r="J179" s="4">
        <v>0.72</v>
      </c>
      <c r="K179" s="4">
        <v>0.68041237113402064</v>
      </c>
      <c r="L179" s="4">
        <v>0.65591397849462363</v>
      </c>
      <c r="M179" s="4">
        <v>0.83157894736842108</v>
      </c>
      <c r="N179" s="4">
        <v>0.7640449438202247</v>
      </c>
      <c r="O179" s="4"/>
      <c r="P179" s="2">
        <v>4</v>
      </c>
      <c r="Q179">
        <v>4</v>
      </c>
      <c r="R179">
        <v>4</v>
      </c>
      <c r="S179">
        <v>4</v>
      </c>
      <c r="T179">
        <v>4</v>
      </c>
      <c r="U179">
        <v>4</v>
      </c>
    </row>
    <row r="180" spans="1:21" x14ac:dyDescent="0.35">
      <c r="A180" s="2">
        <v>5</v>
      </c>
      <c r="B180">
        <v>2</v>
      </c>
      <c r="C180">
        <v>2</v>
      </c>
      <c r="D180">
        <v>8</v>
      </c>
      <c r="E180">
        <v>5</v>
      </c>
      <c r="F180">
        <v>1</v>
      </c>
      <c r="I180" s="2">
        <v>5</v>
      </c>
      <c r="J180" s="4">
        <v>2.6666666666666668E-2</v>
      </c>
      <c r="K180" s="4">
        <v>2.0618556701030927E-2</v>
      </c>
      <c r="L180" s="4">
        <v>8.6021505376344093E-2</v>
      </c>
      <c r="M180" s="4">
        <v>5.2631578947368418E-2</v>
      </c>
      <c r="N180" s="4">
        <v>1.1235955056179775E-2</v>
      </c>
      <c r="O180" s="4"/>
      <c r="P180" s="2">
        <v>1</v>
      </c>
      <c r="R180">
        <v>1</v>
      </c>
      <c r="S180">
        <v>1</v>
      </c>
      <c r="T180">
        <v>1</v>
      </c>
      <c r="U180">
        <v>1</v>
      </c>
    </row>
    <row r="181" spans="1:21" x14ac:dyDescent="0.35">
      <c r="A181" s="2" t="s">
        <v>77</v>
      </c>
      <c r="I181" s="2" t="s">
        <v>77</v>
      </c>
      <c r="J181" s="4">
        <v>0</v>
      </c>
      <c r="K181" s="4">
        <v>0</v>
      </c>
      <c r="L181" s="4">
        <v>0</v>
      </c>
      <c r="M181" s="4">
        <v>0</v>
      </c>
      <c r="N181" s="4">
        <v>0</v>
      </c>
      <c r="O181" s="4"/>
      <c r="P181" s="2" t="s">
        <v>1</v>
      </c>
      <c r="Q181" s="13">
        <v>3.7260273972602738</v>
      </c>
      <c r="R181" s="13">
        <v>3.6631578947368419</v>
      </c>
      <c r="S181" s="13">
        <v>3.6352941176470588</v>
      </c>
      <c r="T181" s="13">
        <v>3.8333333333333335</v>
      </c>
      <c r="U181" s="13">
        <v>3.7159090909090908</v>
      </c>
    </row>
    <row r="182" spans="1:21" x14ac:dyDescent="0.35">
      <c r="A182" s="2">
        <v>1</v>
      </c>
      <c r="C182">
        <v>1</v>
      </c>
      <c r="D182">
        <v>2</v>
      </c>
      <c r="E182">
        <v>1</v>
      </c>
      <c r="F182">
        <v>2</v>
      </c>
      <c r="I182" s="2">
        <v>1</v>
      </c>
      <c r="J182" s="4">
        <v>0</v>
      </c>
      <c r="K182" s="4">
        <v>1.0309278350515464E-2</v>
      </c>
      <c r="L182" s="4">
        <v>2.1505376344086023E-2</v>
      </c>
      <c r="M182" s="4">
        <v>1.0526315789473684E-2</v>
      </c>
      <c r="N182" s="4">
        <v>2.247191011235955E-2</v>
      </c>
      <c r="O182" s="4"/>
    </row>
    <row r="183" spans="1:21" x14ac:dyDescent="0.35">
      <c r="A183" s="2" t="s">
        <v>1</v>
      </c>
      <c r="B183">
        <v>75</v>
      </c>
      <c r="C183">
        <v>97</v>
      </c>
      <c r="D183">
        <v>93</v>
      </c>
      <c r="E183">
        <v>95</v>
      </c>
      <c r="F183">
        <v>89</v>
      </c>
      <c r="I183" s="2" t="s">
        <v>1</v>
      </c>
      <c r="J183" s="4">
        <v>1</v>
      </c>
      <c r="K183" s="4">
        <v>1</v>
      </c>
      <c r="L183" s="4">
        <v>1</v>
      </c>
      <c r="M183" s="4">
        <v>1</v>
      </c>
      <c r="N183" s="6">
        <v>1</v>
      </c>
      <c r="O183" s="6"/>
    </row>
    <row r="184" spans="1:21" x14ac:dyDescent="0.35">
      <c r="A184" s="2"/>
      <c r="I184" s="2"/>
      <c r="J184" s="6"/>
      <c r="K184" s="6"/>
      <c r="L184" s="6"/>
      <c r="M184" s="6"/>
      <c r="N184" s="6"/>
      <c r="O184" s="6"/>
    </row>
    <row r="186" spans="1:21" x14ac:dyDescent="0.35">
      <c r="A186" s="1" t="s">
        <v>90</v>
      </c>
      <c r="B186" s="1" t="s">
        <v>23</v>
      </c>
      <c r="I186" s="1" t="s">
        <v>90</v>
      </c>
      <c r="J186" s="1" t="s">
        <v>23</v>
      </c>
      <c r="P186" s="1" t="s">
        <v>91</v>
      </c>
      <c r="Q186" s="1" t="s">
        <v>23</v>
      </c>
    </row>
    <row r="187" spans="1:21" x14ac:dyDescent="0.35">
      <c r="A187" s="1" t="s">
        <v>17</v>
      </c>
      <c r="B187">
        <v>2019</v>
      </c>
      <c r="C187">
        <v>2020</v>
      </c>
      <c r="D187">
        <v>2021</v>
      </c>
      <c r="E187">
        <v>2022</v>
      </c>
      <c r="F187">
        <v>2023</v>
      </c>
      <c r="I187" s="1" t="s">
        <v>17</v>
      </c>
      <c r="J187">
        <v>2019</v>
      </c>
      <c r="K187">
        <v>2020</v>
      </c>
      <c r="L187">
        <v>2021</v>
      </c>
      <c r="M187">
        <v>2022</v>
      </c>
      <c r="N187">
        <v>2023</v>
      </c>
      <c r="P187" s="1" t="s">
        <v>17</v>
      </c>
      <c r="Q187">
        <v>2019</v>
      </c>
      <c r="R187">
        <v>2020</v>
      </c>
      <c r="S187">
        <v>2021</v>
      </c>
      <c r="T187">
        <v>2022</v>
      </c>
      <c r="U187">
        <v>2023</v>
      </c>
    </row>
    <row r="188" spans="1:21" x14ac:dyDescent="0.35">
      <c r="A188" s="2">
        <v>1</v>
      </c>
      <c r="B188">
        <v>2</v>
      </c>
      <c r="C188">
        <v>2</v>
      </c>
      <c r="D188">
        <v>3</v>
      </c>
      <c r="F188">
        <v>1</v>
      </c>
      <c r="I188" s="2">
        <v>1</v>
      </c>
      <c r="J188" s="4">
        <v>2.5316455696202531E-2</v>
      </c>
      <c r="K188" s="4">
        <v>2.1739130434782608E-2</v>
      </c>
      <c r="L188" s="4">
        <v>3.2258064516129031E-2</v>
      </c>
      <c r="M188" s="4">
        <v>0</v>
      </c>
      <c r="N188" s="4">
        <v>1.1494252873563218E-2</v>
      </c>
      <c r="O188" s="4"/>
      <c r="P188" s="2">
        <v>1</v>
      </c>
      <c r="Q188">
        <v>1</v>
      </c>
      <c r="R188">
        <v>1</v>
      </c>
      <c r="S188">
        <v>1</v>
      </c>
      <c r="U188">
        <v>1</v>
      </c>
    </row>
    <row r="189" spans="1:21" x14ac:dyDescent="0.35">
      <c r="A189" s="2">
        <v>3</v>
      </c>
      <c r="B189">
        <v>15</v>
      </c>
      <c r="C189">
        <v>21</v>
      </c>
      <c r="D189">
        <v>23</v>
      </c>
      <c r="E189">
        <v>15</v>
      </c>
      <c r="F189">
        <v>15</v>
      </c>
      <c r="I189" s="2">
        <v>3</v>
      </c>
      <c r="J189" s="4">
        <v>0.189873417721519</v>
      </c>
      <c r="K189" s="4">
        <v>0.22826086956521738</v>
      </c>
      <c r="L189" s="4">
        <v>0.24731182795698925</v>
      </c>
      <c r="M189" s="4">
        <v>0.15789473684210525</v>
      </c>
      <c r="N189" s="4">
        <v>0.17241379310344829</v>
      </c>
      <c r="O189" s="4"/>
      <c r="P189" s="2">
        <v>3</v>
      </c>
      <c r="Q189">
        <v>3</v>
      </c>
      <c r="R189">
        <v>3</v>
      </c>
      <c r="S189">
        <v>3</v>
      </c>
      <c r="T189">
        <v>3</v>
      </c>
      <c r="U189">
        <v>3</v>
      </c>
    </row>
    <row r="190" spans="1:21" x14ac:dyDescent="0.35">
      <c r="A190" s="2">
        <v>4</v>
      </c>
      <c r="B190">
        <v>62</v>
      </c>
      <c r="C190">
        <v>63</v>
      </c>
      <c r="D190">
        <v>60</v>
      </c>
      <c r="E190">
        <v>77</v>
      </c>
      <c r="F190">
        <v>69</v>
      </c>
      <c r="I190" s="2">
        <v>4</v>
      </c>
      <c r="J190" s="4">
        <v>0.78481012658227844</v>
      </c>
      <c r="K190" s="4">
        <v>0.68478260869565222</v>
      </c>
      <c r="L190" s="4">
        <v>0.64516129032258063</v>
      </c>
      <c r="M190" s="4">
        <v>0.81052631578947365</v>
      </c>
      <c r="N190" s="4">
        <v>0.7931034482758621</v>
      </c>
      <c r="O190" s="4"/>
      <c r="P190" s="2">
        <v>4</v>
      </c>
      <c r="Q190">
        <v>4</v>
      </c>
      <c r="R190">
        <v>4</v>
      </c>
      <c r="S190">
        <v>4</v>
      </c>
      <c r="T190">
        <v>4</v>
      </c>
      <c r="U190">
        <v>4</v>
      </c>
    </row>
    <row r="191" spans="1:21" x14ac:dyDescent="0.35">
      <c r="A191" s="2" t="s">
        <v>77</v>
      </c>
      <c r="I191" s="2" t="s">
        <v>77</v>
      </c>
      <c r="J191" s="4">
        <v>0</v>
      </c>
      <c r="K191" s="4">
        <v>0</v>
      </c>
      <c r="L191" s="4">
        <v>0</v>
      </c>
      <c r="M191" s="4">
        <v>0</v>
      </c>
      <c r="N191" s="4">
        <v>0</v>
      </c>
      <c r="O191" s="4"/>
      <c r="P191" s="2">
        <v>2</v>
      </c>
      <c r="R191">
        <v>2</v>
      </c>
      <c r="S191">
        <v>2</v>
      </c>
      <c r="T191">
        <v>2</v>
      </c>
    </row>
    <row r="192" spans="1:21" x14ac:dyDescent="0.35">
      <c r="A192" s="2">
        <v>5</v>
      </c>
      <c r="C192">
        <v>4</v>
      </c>
      <c r="D192">
        <v>5</v>
      </c>
      <c r="E192">
        <v>2</v>
      </c>
      <c r="F192">
        <v>2</v>
      </c>
      <c r="I192" s="2">
        <v>5</v>
      </c>
      <c r="J192" s="4">
        <v>0</v>
      </c>
      <c r="K192" s="4">
        <v>4.3478260869565216E-2</v>
      </c>
      <c r="L192" s="4">
        <v>5.3763440860215055E-2</v>
      </c>
      <c r="M192" s="4">
        <v>2.1052631578947368E-2</v>
      </c>
      <c r="N192" s="4">
        <v>2.2988505747126436E-2</v>
      </c>
      <c r="O192" s="4"/>
      <c r="P192" s="2" t="s">
        <v>1</v>
      </c>
      <c r="Q192" s="13">
        <v>3.7341772151898733</v>
      </c>
      <c r="R192" s="13">
        <v>3.6477272727272729</v>
      </c>
      <c r="S192" s="13">
        <v>3.5909090909090908</v>
      </c>
      <c r="T192" s="13">
        <v>3.817204301075269</v>
      </c>
      <c r="U192" s="13">
        <v>3.7882352941176469</v>
      </c>
    </row>
    <row r="193" spans="1:21" x14ac:dyDescent="0.35">
      <c r="A193" s="2">
        <v>2</v>
      </c>
      <c r="C193">
        <v>2</v>
      </c>
      <c r="D193">
        <v>2</v>
      </c>
      <c r="E193">
        <v>1</v>
      </c>
      <c r="I193" s="2">
        <v>2</v>
      </c>
      <c r="J193" s="4">
        <v>0</v>
      </c>
      <c r="K193" s="4">
        <v>2.1739130434782608E-2</v>
      </c>
      <c r="L193" s="4">
        <v>2.1505376344086023E-2</v>
      </c>
      <c r="M193" s="4">
        <v>1.0526315789473684E-2</v>
      </c>
      <c r="N193" s="4">
        <v>0</v>
      </c>
      <c r="O193" s="4"/>
    </row>
    <row r="194" spans="1:21" x14ac:dyDescent="0.35">
      <c r="A194" s="2" t="s">
        <v>1</v>
      </c>
      <c r="B194">
        <v>79</v>
      </c>
      <c r="C194">
        <v>92</v>
      </c>
      <c r="D194">
        <v>93</v>
      </c>
      <c r="E194">
        <v>95</v>
      </c>
      <c r="F194">
        <v>87</v>
      </c>
      <c r="I194" s="2" t="s">
        <v>1</v>
      </c>
      <c r="J194" s="4">
        <v>1</v>
      </c>
      <c r="K194" s="4">
        <v>1</v>
      </c>
      <c r="L194" s="4">
        <v>1</v>
      </c>
      <c r="M194" s="4">
        <v>1</v>
      </c>
      <c r="N194" s="6">
        <v>1</v>
      </c>
      <c r="O194" s="6"/>
    </row>
    <row r="195" spans="1:21" x14ac:dyDescent="0.35">
      <c r="A195" s="2"/>
    </row>
    <row r="196" spans="1:21" x14ac:dyDescent="0.35">
      <c r="A196" s="2"/>
    </row>
    <row r="197" spans="1:21" x14ac:dyDescent="0.35">
      <c r="A197" s="1" t="s">
        <v>92</v>
      </c>
      <c r="B197" s="1" t="s">
        <v>23</v>
      </c>
      <c r="I197" s="1" t="s">
        <v>92</v>
      </c>
      <c r="J197" s="1" t="s">
        <v>23</v>
      </c>
      <c r="P197" s="1" t="s">
        <v>93</v>
      </c>
      <c r="Q197" s="1" t="s">
        <v>23</v>
      </c>
    </row>
    <row r="198" spans="1:21" x14ac:dyDescent="0.35">
      <c r="A198" s="1" t="s">
        <v>17</v>
      </c>
      <c r="B198">
        <v>2019</v>
      </c>
      <c r="C198">
        <v>2020</v>
      </c>
      <c r="D198">
        <v>2021</v>
      </c>
      <c r="E198">
        <v>2022</v>
      </c>
      <c r="F198">
        <v>2023</v>
      </c>
      <c r="I198" s="1" t="s">
        <v>17</v>
      </c>
      <c r="J198">
        <v>2019</v>
      </c>
      <c r="K198">
        <v>2020</v>
      </c>
      <c r="L198">
        <v>2021</v>
      </c>
      <c r="M198">
        <v>2022</v>
      </c>
      <c r="N198">
        <v>2023</v>
      </c>
      <c r="P198" s="1" t="s">
        <v>17</v>
      </c>
      <c r="Q198">
        <v>2019</v>
      </c>
      <c r="R198">
        <v>2020</v>
      </c>
      <c r="S198">
        <v>2021</v>
      </c>
      <c r="T198">
        <v>2022</v>
      </c>
      <c r="U198">
        <v>2023</v>
      </c>
    </row>
    <row r="199" spans="1:21" x14ac:dyDescent="0.35">
      <c r="A199" s="2">
        <v>1</v>
      </c>
      <c r="B199">
        <v>1</v>
      </c>
      <c r="C199">
        <v>2</v>
      </c>
      <c r="D199">
        <v>2</v>
      </c>
      <c r="E199">
        <v>1</v>
      </c>
      <c r="I199" s="2">
        <v>1</v>
      </c>
      <c r="J199" s="4">
        <v>1.2658227848101266E-2</v>
      </c>
      <c r="K199" s="4">
        <v>2.1276595744680851E-2</v>
      </c>
      <c r="L199" s="4">
        <v>2.1739130434782608E-2</v>
      </c>
      <c r="M199" s="4">
        <v>1.0416666666666666E-2</v>
      </c>
      <c r="N199" s="4">
        <v>0</v>
      </c>
      <c r="O199" s="4"/>
      <c r="P199" s="2">
        <v>1</v>
      </c>
      <c r="Q199">
        <v>1</v>
      </c>
      <c r="R199">
        <v>1</v>
      </c>
      <c r="S199">
        <v>1</v>
      </c>
      <c r="T199">
        <v>1</v>
      </c>
    </row>
    <row r="200" spans="1:21" x14ac:dyDescent="0.35">
      <c r="A200" s="2">
        <v>2</v>
      </c>
      <c r="B200">
        <v>3</v>
      </c>
      <c r="C200">
        <v>3</v>
      </c>
      <c r="D200">
        <v>1</v>
      </c>
      <c r="I200" s="2">
        <v>2</v>
      </c>
      <c r="J200" s="4">
        <v>3.7974683544303799E-2</v>
      </c>
      <c r="K200" s="4">
        <v>3.1914893617021274E-2</v>
      </c>
      <c r="L200" s="4">
        <v>1.0869565217391304E-2</v>
      </c>
      <c r="M200" s="4">
        <v>0</v>
      </c>
      <c r="N200" s="4">
        <v>0</v>
      </c>
      <c r="O200" s="4"/>
      <c r="P200" s="2">
        <v>2</v>
      </c>
      <c r="Q200">
        <v>2</v>
      </c>
      <c r="R200">
        <v>2</v>
      </c>
      <c r="S200">
        <v>2</v>
      </c>
    </row>
    <row r="201" spans="1:21" x14ac:dyDescent="0.35">
      <c r="A201" s="2">
        <v>3</v>
      </c>
      <c r="B201">
        <v>13</v>
      </c>
      <c r="C201">
        <v>16</v>
      </c>
      <c r="D201">
        <v>18</v>
      </c>
      <c r="E201">
        <v>14</v>
      </c>
      <c r="F201">
        <v>16</v>
      </c>
      <c r="I201" s="2">
        <v>3</v>
      </c>
      <c r="J201" s="4">
        <v>0.16455696202531644</v>
      </c>
      <c r="K201" s="4">
        <v>0.1702127659574468</v>
      </c>
      <c r="L201" s="4">
        <v>0.19565217391304349</v>
      </c>
      <c r="M201" s="4">
        <v>0.14583333333333334</v>
      </c>
      <c r="N201" s="4">
        <v>0.18390804597701149</v>
      </c>
      <c r="O201" s="4"/>
      <c r="P201" s="2">
        <v>3</v>
      </c>
      <c r="Q201">
        <v>3</v>
      </c>
      <c r="R201">
        <v>3</v>
      </c>
      <c r="S201">
        <v>3</v>
      </c>
      <c r="T201">
        <v>3</v>
      </c>
      <c r="U201">
        <v>3</v>
      </c>
    </row>
    <row r="202" spans="1:21" x14ac:dyDescent="0.35">
      <c r="A202" s="2">
        <v>4</v>
      </c>
      <c r="B202">
        <v>52</v>
      </c>
      <c r="C202">
        <v>65</v>
      </c>
      <c r="D202">
        <v>60</v>
      </c>
      <c r="E202">
        <v>66</v>
      </c>
      <c r="F202">
        <v>61</v>
      </c>
      <c r="I202" s="2">
        <v>4</v>
      </c>
      <c r="J202" s="4">
        <v>0.65822784810126578</v>
      </c>
      <c r="K202" s="4">
        <v>0.69148936170212771</v>
      </c>
      <c r="L202" s="4">
        <v>0.65217391304347827</v>
      </c>
      <c r="M202" s="4">
        <v>0.6875</v>
      </c>
      <c r="N202" s="4">
        <v>0.70114942528735635</v>
      </c>
      <c r="O202" s="4"/>
      <c r="P202" s="2">
        <v>4</v>
      </c>
      <c r="Q202">
        <v>4</v>
      </c>
      <c r="R202">
        <v>4</v>
      </c>
      <c r="S202">
        <v>4</v>
      </c>
      <c r="T202">
        <v>4</v>
      </c>
      <c r="U202">
        <v>4</v>
      </c>
    </row>
    <row r="203" spans="1:21" x14ac:dyDescent="0.35">
      <c r="A203" s="2">
        <v>5</v>
      </c>
      <c r="B203">
        <v>10</v>
      </c>
      <c r="C203">
        <v>8</v>
      </c>
      <c r="D203">
        <v>11</v>
      </c>
      <c r="E203">
        <v>15</v>
      </c>
      <c r="F203">
        <v>10</v>
      </c>
      <c r="I203" s="2">
        <v>5</v>
      </c>
      <c r="J203" s="4">
        <v>0.12658227848101267</v>
      </c>
      <c r="K203" s="4">
        <v>8.5106382978723402E-2</v>
      </c>
      <c r="L203" s="4">
        <v>0.11956521739130435</v>
      </c>
      <c r="M203" s="4">
        <v>0.15625</v>
      </c>
      <c r="N203" s="4">
        <v>0.11494252873563218</v>
      </c>
      <c r="O203" s="4"/>
      <c r="P203" s="2" t="s">
        <v>1</v>
      </c>
      <c r="Q203" s="13">
        <v>3.681159420289855</v>
      </c>
      <c r="R203" s="13">
        <v>3.6744186046511627</v>
      </c>
      <c r="S203" s="13">
        <v>3.6790123456790123</v>
      </c>
      <c r="T203" s="13">
        <v>3.7901234567901234</v>
      </c>
      <c r="U203" s="13">
        <v>3.7922077922077921</v>
      </c>
    </row>
    <row r="204" spans="1:21" x14ac:dyDescent="0.35">
      <c r="A204" s="2" t="s">
        <v>77</v>
      </c>
      <c r="I204" s="2" t="s">
        <v>77</v>
      </c>
      <c r="J204" s="4">
        <v>0</v>
      </c>
      <c r="K204" s="4">
        <v>0</v>
      </c>
      <c r="L204" s="4">
        <v>0</v>
      </c>
      <c r="M204" s="4">
        <v>0</v>
      </c>
      <c r="N204" s="4">
        <v>0</v>
      </c>
      <c r="O204" s="4"/>
    </row>
    <row r="205" spans="1:21" x14ac:dyDescent="0.35">
      <c r="A205" s="2" t="s">
        <v>1</v>
      </c>
      <c r="B205">
        <v>79</v>
      </c>
      <c r="C205">
        <v>94</v>
      </c>
      <c r="D205">
        <v>92</v>
      </c>
      <c r="E205">
        <v>96</v>
      </c>
      <c r="F205">
        <v>87</v>
      </c>
      <c r="I205" s="2" t="s">
        <v>1</v>
      </c>
      <c r="J205" s="4">
        <v>1</v>
      </c>
      <c r="K205" s="4">
        <v>1</v>
      </c>
      <c r="L205" s="4">
        <v>1</v>
      </c>
      <c r="M205" s="4">
        <v>1</v>
      </c>
      <c r="N205" s="6">
        <v>1</v>
      </c>
      <c r="O205" s="6"/>
    </row>
    <row r="208" spans="1:21" x14ac:dyDescent="0.35">
      <c r="A208" s="1" t="s">
        <v>94</v>
      </c>
      <c r="B208" s="1" t="s">
        <v>23</v>
      </c>
      <c r="I208" s="1" t="s">
        <v>94</v>
      </c>
      <c r="J208" s="1" t="s">
        <v>23</v>
      </c>
      <c r="P208" s="1" t="s">
        <v>95</v>
      </c>
      <c r="Q208" s="1" t="s">
        <v>23</v>
      </c>
    </row>
    <row r="209" spans="1:21" x14ac:dyDescent="0.35">
      <c r="A209" s="1" t="s">
        <v>17</v>
      </c>
      <c r="B209">
        <v>2019</v>
      </c>
      <c r="C209">
        <v>2020</v>
      </c>
      <c r="D209">
        <v>2021</v>
      </c>
      <c r="E209">
        <v>2022</v>
      </c>
      <c r="F209">
        <v>2023</v>
      </c>
      <c r="I209" s="1" t="s">
        <v>17</v>
      </c>
      <c r="J209">
        <v>2019</v>
      </c>
      <c r="K209">
        <v>2020</v>
      </c>
      <c r="L209">
        <v>2021</v>
      </c>
      <c r="M209">
        <v>2022</v>
      </c>
      <c r="N209">
        <v>2023</v>
      </c>
      <c r="P209" s="1" t="s">
        <v>17</v>
      </c>
      <c r="Q209">
        <v>2019</v>
      </c>
      <c r="R209">
        <v>2020</v>
      </c>
      <c r="S209">
        <v>2021</v>
      </c>
      <c r="T209">
        <v>2022</v>
      </c>
      <c r="U209">
        <v>2023</v>
      </c>
    </row>
    <row r="210" spans="1:21" x14ac:dyDescent="0.35">
      <c r="A210" s="2">
        <v>1</v>
      </c>
      <c r="B210">
        <v>2</v>
      </c>
      <c r="C210">
        <v>4</v>
      </c>
      <c r="D210">
        <v>6</v>
      </c>
      <c r="E210">
        <v>3</v>
      </c>
      <c r="F210">
        <v>3</v>
      </c>
      <c r="I210" s="2">
        <v>1</v>
      </c>
      <c r="J210" s="4">
        <v>2.6315789473684209E-2</v>
      </c>
      <c r="K210" s="4">
        <v>4.1237113402061855E-2</v>
      </c>
      <c r="L210" s="4">
        <v>6.3829787234042548E-2</v>
      </c>
      <c r="M210" s="4">
        <v>3.1578947368421054E-2</v>
      </c>
      <c r="N210" s="6">
        <v>3.4090909090909088E-2</v>
      </c>
      <c r="O210" s="6"/>
      <c r="P210" s="2">
        <v>1</v>
      </c>
      <c r="Q210">
        <v>1</v>
      </c>
      <c r="R210">
        <v>1</v>
      </c>
      <c r="S210">
        <v>1</v>
      </c>
      <c r="T210">
        <v>1</v>
      </c>
      <c r="U210">
        <v>1</v>
      </c>
    </row>
    <row r="211" spans="1:21" x14ac:dyDescent="0.35">
      <c r="A211" s="2">
        <v>2</v>
      </c>
      <c r="B211">
        <v>3</v>
      </c>
      <c r="C211">
        <v>7</v>
      </c>
      <c r="D211">
        <v>2</v>
      </c>
      <c r="E211">
        <v>3</v>
      </c>
      <c r="F211">
        <v>3</v>
      </c>
      <c r="I211" s="2">
        <v>2</v>
      </c>
      <c r="J211" s="4">
        <v>3.9473684210526314E-2</v>
      </c>
      <c r="K211" s="4">
        <v>7.2164948453608241E-2</v>
      </c>
      <c r="L211" s="4">
        <v>2.1276595744680851E-2</v>
      </c>
      <c r="M211" s="4">
        <v>3.1578947368421054E-2</v>
      </c>
      <c r="N211" s="6">
        <v>3.4090909090909088E-2</v>
      </c>
      <c r="O211" s="6"/>
      <c r="P211" s="2">
        <v>2</v>
      </c>
      <c r="Q211">
        <v>2</v>
      </c>
      <c r="R211">
        <v>2</v>
      </c>
      <c r="S211">
        <v>2</v>
      </c>
      <c r="T211">
        <v>2</v>
      </c>
      <c r="U211">
        <v>2</v>
      </c>
    </row>
    <row r="212" spans="1:21" x14ac:dyDescent="0.35">
      <c r="A212" s="2">
        <v>3</v>
      </c>
      <c r="B212">
        <v>20</v>
      </c>
      <c r="C212">
        <v>31</v>
      </c>
      <c r="D212">
        <v>26</v>
      </c>
      <c r="E212">
        <v>23</v>
      </c>
      <c r="F212">
        <v>29</v>
      </c>
      <c r="I212" s="2">
        <v>3</v>
      </c>
      <c r="J212" s="4">
        <v>0.26315789473684209</v>
      </c>
      <c r="K212" s="4">
        <v>0.31958762886597936</v>
      </c>
      <c r="L212" s="4">
        <v>0.27659574468085107</v>
      </c>
      <c r="M212" s="4">
        <v>0.24210526315789474</v>
      </c>
      <c r="N212" s="6">
        <v>0.32954545454545453</v>
      </c>
      <c r="O212" s="6"/>
      <c r="P212" s="2">
        <v>3</v>
      </c>
      <c r="Q212">
        <v>3</v>
      </c>
      <c r="R212">
        <v>3</v>
      </c>
      <c r="S212">
        <v>3</v>
      </c>
      <c r="T212">
        <v>3</v>
      </c>
      <c r="U212">
        <v>3</v>
      </c>
    </row>
    <row r="213" spans="1:21" x14ac:dyDescent="0.35">
      <c r="A213" s="2">
        <v>4</v>
      </c>
      <c r="B213">
        <v>50</v>
      </c>
      <c r="C213">
        <v>53</v>
      </c>
      <c r="D213">
        <v>55</v>
      </c>
      <c r="E213">
        <v>59</v>
      </c>
      <c r="F213">
        <v>51</v>
      </c>
      <c r="I213" s="2">
        <v>4</v>
      </c>
      <c r="J213" s="4">
        <v>0.65789473684210531</v>
      </c>
      <c r="K213" s="4">
        <v>0.54639175257731953</v>
      </c>
      <c r="L213" s="4">
        <v>0.58510638297872342</v>
      </c>
      <c r="M213" s="4">
        <v>0.62105263157894741</v>
      </c>
      <c r="N213" s="6">
        <v>0.57954545454545459</v>
      </c>
      <c r="O213" s="6"/>
      <c r="P213" s="2">
        <v>4</v>
      </c>
      <c r="Q213">
        <v>4</v>
      </c>
      <c r="R213">
        <v>4</v>
      </c>
      <c r="S213">
        <v>4</v>
      </c>
      <c r="T213">
        <v>4</v>
      </c>
      <c r="U213">
        <v>4</v>
      </c>
    </row>
    <row r="214" spans="1:21" x14ac:dyDescent="0.35">
      <c r="A214" s="2">
        <v>5</v>
      </c>
      <c r="B214">
        <v>1</v>
      </c>
      <c r="C214">
        <v>2</v>
      </c>
      <c r="D214">
        <v>5</v>
      </c>
      <c r="E214">
        <v>7</v>
      </c>
      <c r="F214">
        <v>2</v>
      </c>
      <c r="I214" s="2">
        <v>5</v>
      </c>
      <c r="J214" s="4">
        <v>1.3157894736842105E-2</v>
      </c>
      <c r="K214" s="4">
        <v>2.0618556701030927E-2</v>
      </c>
      <c r="L214" s="4">
        <v>5.3191489361702128E-2</v>
      </c>
      <c r="M214" s="4">
        <v>7.3684210526315783E-2</v>
      </c>
      <c r="N214" s="6">
        <v>2.2727272727272728E-2</v>
      </c>
      <c r="O214" s="6"/>
      <c r="P214" s="2" t="s">
        <v>1</v>
      </c>
      <c r="Q214" s="13">
        <v>3.5733333333333333</v>
      </c>
      <c r="R214" s="13">
        <v>3.4</v>
      </c>
      <c r="S214" s="13">
        <v>3.4606741573033708</v>
      </c>
      <c r="T214" s="13">
        <v>3.5681818181818183</v>
      </c>
      <c r="U214" s="13">
        <v>3.4883720930232558</v>
      </c>
    </row>
    <row r="215" spans="1:21" x14ac:dyDescent="0.35">
      <c r="A215" s="2" t="s">
        <v>77</v>
      </c>
      <c r="I215" s="2" t="s">
        <v>77</v>
      </c>
      <c r="J215" s="4">
        <v>0</v>
      </c>
      <c r="K215" s="4">
        <v>0</v>
      </c>
      <c r="L215" s="4">
        <v>0</v>
      </c>
      <c r="M215" s="4">
        <v>0</v>
      </c>
      <c r="N215" s="6">
        <v>0</v>
      </c>
      <c r="O215" s="6"/>
    </row>
    <row r="216" spans="1:21" x14ac:dyDescent="0.35">
      <c r="A216" s="2" t="s">
        <v>1</v>
      </c>
      <c r="B216">
        <v>76</v>
      </c>
      <c r="C216">
        <v>97</v>
      </c>
      <c r="D216">
        <v>94</v>
      </c>
      <c r="E216">
        <v>95</v>
      </c>
      <c r="F216">
        <v>88</v>
      </c>
      <c r="I216" s="2" t="s">
        <v>1</v>
      </c>
      <c r="J216" s="4">
        <v>1</v>
      </c>
      <c r="K216" s="4">
        <v>1</v>
      </c>
      <c r="L216" s="4">
        <v>1</v>
      </c>
      <c r="M216" s="4">
        <v>1</v>
      </c>
      <c r="N216" s="6">
        <v>1</v>
      </c>
      <c r="O216" s="6"/>
    </row>
    <row r="220" spans="1:21" x14ac:dyDescent="0.35">
      <c r="A220" s="1" t="s">
        <v>96</v>
      </c>
      <c r="B220" s="1" t="s">
        <v>23</v>
      </c>
      <c r="I220" s="1" t="s">
        <v>96</v>
      </c>
      <c r="J220" s="1" t="s">
        <v>23</v>
      </c>
      <c r="P220" s="1" t="s">
        <v>97</v>
      </c>
      <c r="Q220" s="1" t="s">
        <v>23</v>
      </c>
    </row>
    <row r="221" spans="1:21" x14ac:dyDescent="0.35">
      <c r="A221" s="1" t="s">
        <v>17</v>
      </c>
      <c r="B221">
        <v>2019</v>
      </c>
      <c r="C221">
        <v>2020</v>
      </c>
      <c r="D221">
        <v>2021</v>
      </c>
      <c r="E221">
        <v>2022</v>
      </c>
      <c r="F221">
        <v>2023</v>
      </c>
      <c r="I221" s="1" t="s">
        <v>17</v>
      </c>
      <c r="J221">
        <v>2019</v>
      </c>
      <c r="K221">
        <v>2020</v>
      </c>
      <c r="L221">
        <v>2021</v>
      </c>
      <c r="M221">
        <v>2022</v>
      </c>
      <c r="N221">
        <v>2023</v>
      </c>
      <c r="P221" s="1" t="s">
        <v>17</v>
      </c>
      <c r="Q221">
        <v>2019</v>
      </c>
      <c r="R221">
        <v>2020</v>
      </c>
      <c r="S221">
        <v>2021</v>
      </c>
      <c r="T221">
        <v>2022</v>
      </c>
      <c r="U221">
        <v>2023</v>
      </c>
    </row>
    <row r="222" spans="1:21" x14ac:dyDescent="0.35">
      <c r="A222" s="2">
        <v>1</v>
      </c>
      <c r="B222">
        <v>4</v>
      </c>
      <c r="C222">
        <v>6</v>
      </c>
      <c r="D222">
        <v>6</v>
      </c>
      <c r="E222">
        <v>3</v>
      </c>
      <c r="F222">
        <v>6</v>
      </c>
      <c r="I222" s="2">
        <v>1</v>
      </c>
      <c r="J222" s="4">
        <v>0.05</v>
      </c>
      <c r="K222" s="4">
        <v>6.25E-2</v>
      </c>
      <c r="L222" s="4">
        <v>6.4516129032258063E-2</v>
      </c>
      <c r="M222" s="4">
        <v>3.0927835051546393E-2</v>
      </c>
      <c r="N222" s="6">
        <v>6.741573033707865E-2</v>
      </c>
      <c r="O222" s="6"/>
      <c r="P222" s="2">
        <v>1</v>
      </c>
      <c r="Q222">
        <v>1</v>
      </c>
      <c r="R222">
        <v>1</v>
      </c>
      <c r="S222">
        <v>1</v>
      </c>
      <c r="T222">
        <v>1</v>
      </c>
      <c r="U222">
        <v>1</v>
      </c>
    </row>
    <row r="223" spans="1:21" x14ac:dyDescent="0.35">
      <c r="A223" s="2">
        <v>2</v>
      </c>
      <c r="B223">
        <v>6</v>
      </c>
      <c r="C223">
        <v>7</v>
      </c>
      <c r="D223">
        <v>6</v>
      </c>
      <c r="E223">
        <v>8</v>
      </c>
      <c r="F223">
        <v>7</v>
      </c>
      <c r="I223" s="2">
        <v>2</v>
      </c>
      <c r="J223" s="4">
        <v>7.4999999999999997E-2</v>
      </c>
      <c r="K223" s="4">
        <v>7.2916666666666671E-2</v>
      </c>
      <c r="L223" s="4">
        <v>6.4516129032258063E-2</v>
      </c>
      <c r="M223" s="4">
        <v>8.247422680412371E-2</v>
      </c>
      <c r="N223" s="6">
        <v>7.8651685393258425E-2</v>
      </c>
      <c r="O223" s="6"/>
      <c r="P223" s="2">
        <v>2</v>
      </c>
      <c r="Q223">
        <v>2</v>
      </c>
      <c r="R223">
        <v>2</v>
      </c>
      <c r="S223">
        <v>2</v>
      </c>
      <c r="T223">
        <v>2</v>
      </c>
      <c r="U223">
        <v>2</v>
      </c>
    </row>
    <row r="224" spans="1:21" x14ac:dyDescent="0.35">
      <c r="A224" s="2">
        <v>3</v>
      </c>
      <c r="B224">
        <v>31</v>
      </c>
      <c r="C224">
        <v>39</v>
      </c>
      <c r="D224">
        <v>33</v>
      </c>
      <c r="E224">
        <v>38</v>
      </c>
      <c r="F224">
        <v>31</v>
      </c>
      <c r="I224" s="2">
        <v>3</v>
      </c>
      <c r="J224" s="4">
        <v>0.38750000000000001</v>
      </c>
      <c r="K224" s="4">
        <v>0.40625</v>
      </c>
      <c r="L224" s="4">
        <v>0.35483870967741937</v>
      </c>
      <c r="M224" s="4">
        <v>0.39175257731958762</v>
      </c>
      <c r="N224" s="6">
        <v>0.34831460674157305</v>
      </c>
      <c r="O224" s="6"/>
      <c r="P224" s="2">
        <v>3</v>
      </c>
      <c r="Q224">
        <v>3</v>
      </c>
      <c r="R224">
        <v>3</v>
      </c>
      <c r="S224">
        <v>3</v>
      </c>
      <c r="T224">
        <v>3</v>
      </c>
      <c r="U224">
        <v>3</v>
      </c>
    </row>
    <row r="225" spans="1:21" x14ac:dyDescent="0.35">
      <c r="A225" s="2">
        <v>4</v>
      </c>
      <c r="B225">
        <v>35</v>
      </c>
      <c r="C225">
        <v>33</v>
      </c>
      <c r="D225">
        <v>39</v>
      </c>
      <c r="E225">
        <v>39</v>
      </c>
      <c r="F225">
        <v>41</v>
      </c>
      <c r="I225" s="2">
        <v>4</v>
      </c>
      <c r="J225" s="4">
        <v>0.4375</v>
      </c>
      <c r="K225" s="4">
        <v>0.34375</v>
      </c>
      <c r="L225" s="4">
        <v>0.41935483870967744</v>
      </c>
      <c r="M225" s="4">
        <v>0.40206185567010311</v>
      </c>
      <c r="N225" s="6">
        <v>0.4606741573033708</v>
      </c>
      <c r="O225" s="6"/>
      <c r="P225" s="2">
        <v>4</v>
      </c>
      <c r="Q225">
        <v>4</v>
      </c>
      <c r="R225">
        <v>4</v>
      </c>
      <c r="S225">
        <v>4</v>
      </c>
      <c r="T225">
        <v>4</v>
      </c>
      <c r="U225">
        <v>4</v>
      </c>
    </row>
    <row r="226" spans="1:21" x14ac:dyDescent="0.35">
      <c r="A226" s="2">
        <v>5</v>
      </c>
      <c r="B226">
        <v>4</v>
      </c>
      <c r="C226">
        <v>11</v>
      </c>
      <c r="D226">
        <v>9</v>
      </c>
      <c r="E226">
        <v>9</v>
      </c>
      <c r="F226">
        <v>4</v>
      </c>
      <c r="I226" s="2">
        <v>5</v>
      </c>
      <c r="J226" s="4">
        <v>0.05</v>
      </c>
      <c r="K226" s="4">
        <v>0.11458333333333333</v>
      </c>
      <c r="L226" s="4">
        <v>9.6774193548387094E-2</v>
      </c>
      <c r="M226" s="4">
        <v>9.2783505154639179E-2</v>
      </c>
      <c r="N226" s="6">
        <v>4.49438202247191E-2</v>
      </c>
      <c r="O226" s="6"/>
      <c r="P226" s="2" t="s">
        <v>1</v>
      </c>
      <c r="Q226">
        <v>3.2763157894736841</v>
      </c>
      <c r="R226">
        <v>3.164705882352941</v>
      </c>
      <c r="S226">
        <v>3.25</v>
      </c>
      <c r="T226">
        <v>3.2840909090909092</v>
      </c>
      <c r="U226">
        <v>3.2588235294117647</v>
      </c>
    </row>
    <row r="227" spans="1:21" x14ac:dyDescent="0.35">
      <c r="A227" s="2" t="s">
        <v>77</v>
      </c>
      <c r="I227" s="2" t="s">
        <v>77</v>
      </c>
      <c r="J227" s="4">
        <v>0</v>
      </c>
      <c r="K227" s="4">
        <v>0</v>
      </c>
      <c r="L227" s="4">
        <v>0</v>
      </c>
      <c r="M227" s="4">
        <v>0</v>
      </c>
      <c r="N227" s="6">
        <v>0</v>
      </c>
      <c r="O227" s="6"/>
    </row>
    <row r="228" spans="1:21" x14ac:dyDescent="0.35">
      <c r="A228" s="2" t="s">
        <v>1</v>
      </c>
      <c r="B228">
        <v>80</v>
      </c>
      <c r="C228">
        <v>96</v>
      </c>
      <c r="D228">
        <v>93</v>
      </c>
      <c r="E228">
        <v>97</v>
      </c>
      <c r="F228">
        <v>89</v>
      </c>
      <c r="I228" s="2" t="s">
        <v>1</v>
      </c>
      <c r="J228" s="4">
        <v>1</v>
      </c>
      <c r="K228" s="4">
        <v>1</v>
      </c>
      <c r="L228" s="4">
        <v>1</v>
      </c>
      <c r="M228" s="4">
        <v>1</v>
      </c>
      <c r="N228" s="6">
        <v>1</v>
      </c>
      <c r="O228" s="6"/>
    </row>
    <row r="229" spans="1:21" x14ac:dyDescent="0.35">
      <c r="A229" s="2"/>
      <c r="I229" s="2"/>
      <c r="J229" s="6"/>
      <c r="K229" s="6"/>
      <c r="L229" s="6"/>
      <c r="M229" s="6"/>
      <c r="N229" s="6"/>
      <c r="O229" s="6"/>
    </row>
    <row r="231" spans="1:21" x14ac:dyDescent="0.35">
      <c r="A231" s="1" t="s">
        <v>98</v>
      </c>
      <c r="B231" s="1" t="s">
        <v>23</v>
      </c>
      <c r="I231" s="1" t="s">
        <v>98</v>
      </c>
      <c r="J231" s="1" t="s">
        <v>23</v>
      </c>
      <c r="P231" s="1" t="s">
        <v>99</v>
      </c>
      <c r="Q231" s="1" t="s">
        <v>23</v>
      </c>
    </row>
    <row r="232" spans="1:21" x14ac:dyDescent="0.35">
      <c r="A232" s="1" t="s">
        <v>17</v>
      </c>
      <c r="B232">
        <v>2019</v>
      </c>
      <c r="C232">
        <v>2020</v>
      </c>
      <c r="D232">
        <v>2021</v>
      </c>
      <c r="E232">
        <v>2022</v>
      </c>
      <c r="F232">
        <v>2023</v>
      </c>
      <c r="I232" s="1" t="s">
        <v>17</v>
      </c>
      <c r="J232">
        <v>2019</v>
      </c>
      <c r="K232">
        <v>2020</v>
      </c>
      <c r="L232">
        <v>2021</v>
      </c>
      <c r="M232">
        <v>2022</v>
      </c>
      <c r="N232">
        <v>2023</v>
      </c>
      <c r="P232" s="1" t="s">
        <v>17</v>
      </c>
      <c r="Q232">
        <v>2019</v>
      </c>
      <c r="R232">
        <v>2020</v>
      </c>
      <c r="S232">
        <v>2021</v>
      </c>
      <c r="T232">
        <v>2022</v>
      </c>
      <c r="U232">
        <v>2023</v>
      </c>
    </row>
    <row r="233" spans="1:21" x14ac:dyDescent="0.35">
      <c r="A233" s="2">
        <v>1</v>
      </c>
      <c r="B233">
        <v>3</v>
      </c>
      <c r="C233">
        <v>6</v>
      </c>
      <c r="D233">
        <v>3</v>
      </c>
      <c r="E233">
        <v>1</v>
      </c>
      <c r="F233">
        <v>2</v>
      </c>
      <c r="I233" s="2">
        <v>1</v>
      </c>
      <c r="J233" s="4">
        <v>3.9473684210526314E-2</v>
      </c>
      <c r="K233" s="4">
        <v>6.25E-2</v>
      </c>
      <c r="L233" s="4">
        <v>3.2258064516129031E-2</v>
      </c>
      <c r="M233" s="4">
        <v>1.0526315789473684E-2</v>
      </c>
      <c r="N233" s="6">
        <v>2.2727272727272728E-2</v>
      </c>
      <c r="O233" s="6"/>
      <c r="P233" s="2">
        <v>1</v>
      </c>
      <c r="Q233">
        <v>1</v>
      </c>
      <c r="R233">
        <v>1</v>
      </c>
      <c r="S233">
        <v>1</v>
      </c>
      <c r="T233">
        <v>1</v>
      </c>
      <c r="U233">
        <v>1</v>
      </c>
    </row>
    <row r="234" spans="1:21" x14ac:dyDescent="0.35">
      <c r="A234" s="2">
        <v>2</v>
      </c>
      <c r="B234">
        <v>2</v>
      </c>
      <c r="C234">
        <v>8</v>
      </c>
      <c r="D234">
        <v>2</v>
      </c>
      <c r="E234">
        <v>3</v>
      </c>
      <c r="F234">
        <v>4</v>
      </c>
      <c r="I234" s="2">
        <v>2</v>
      </c>
      <c r="J234" s="4">
        <v>2.6315789473684209E-2</v>
      </c>
      <c r="K234" s="4">
        <v>8.3333333333333329E-2</v>
      </c>
      <c r="L234" s="4">
        <v>2.1505376344086023E-2</v>
      </c>
      <c r="M234" s="4">
        <v>3.1578947368421054E-2</v>
      </c>
      <c r="N234" s="6">
        <v>4.5454545454545456E-2</v>
      </c>
      <c r="O234" s="6"/>
      <c r="P234" s="2">
        <v>2</v>
      </c>
      <c r="Q234">
        <v>2</v>
      </c>
      <c r="R234">
        <v>2</v>
      </c>
      <c r="S234">
        <v>2</v>
      </c>
      <c r="T234">
        <v>2</v>
      </c>
      <c r="U234">
        <v>2</v>
      </c>
    </row>
    <row r="235" spans="1:21" x14ac:dyDescent="0.35">
      <c r="A235" s="2">
        <v>3</v>
      </c>
      <c r="B235">
        <v>17</v>
      </c>
      <c r="C235">
        <v>26</v>
      </c>
      <c r="D235">
        <v>34</v>
      </c>
      <c r="E235">
        <v>28</v>
      </c>
      <c r="F235">
        <v>25</v>
      </c>
      <c r="I235" s="2">
        <v>3</v>
      </c>
      <c r="J235" s="4">
        <v>0.22368421052631579</v>
      </c>
      <c r="K235" s="4">
        <v>0.27083333333333331</v>
      </c>
      <c r="L235" s="4">
        <v>0.36559139784946237</v>
      </c>
      <c r="M235" s="4">
        <v>0.29473684210526313</v>
      </c>
      <c r="N235" s="6">
        <v>0.28409090909090912</v>
      </c>
      <c r="O235" s="6"/>
      <c r="P235" s="2">
        <v>3</v>
      </c>
      <c r="Q235">
        <v>3</v>
      </c>
      <c r="R235">
        <v>3</v>
      </c>
      <c r="S235">
        <v>3</v>
      </c>
      <c r="T235">
        <v>3</v>
      </c>
      <c r="U235">
        <v>3</v>
      </c>
    </row>
    <row r="236" spans="1:21" x14ac:dyDescent="0.35">
      <c r="A236" s="2">
        <v>4</v>
      </c>
      <c r="B236">
        <v>46</v>
      </c>
      <c r="C236">
        <v>42</v>
      </c>
      <c r="D236">
        <v>46</v>
      </c>
      <c r="E236">
        <v>50</v>
      </c>
      <c r="F236">
        <v>42</v>
      </c>
      <c r="I236" s="2">
        <v>4</v>
      </c>
      <c r="J236" s="4">
        <v>0.60526315789473684</v>
      </c>
      <c r="K236" s="4">
        <v>0.4375</v>
      </c>
      <c r="L236" s="4">
        <v>0.4946236559139785</v>
      </c>
      <c r="M236" s="4">
        <v>0.52631578947368418</v>
      </c>
      <c r="N236" s="6">
        <v>0.47727272727272729</v>
      </c>
      <c r="O236" s="6"/>
      <c r="P236" s="2">
        <v>4</v>
      </c>
      <c r="Q236">
        <v>4</v>
      </c>
      <c r="R236">
        <v>4</v>
      </c>
      <c r="S236">
        <v>4</v>
      </c>
      <c r="T236">
        <v>4</v>
      </c>
      <c r="U236">
        <v>4</v>
      </c>
    </row>
    <row r="237" spans="1:21" x14ac:dyDescent="0.35">
      <c r="A237" s="2">
        <v>5</v>
      </c>
      <c r="B237">
        <v>8</v>
      </c>
      <c r="C237">
        <v>14</v>
      </c>
      <c r="D237">
        <v>8</v>
      </c>
      <c r="E237">
        <v>13</v>
      </c>
      <c r="F237">
        <v>15</v>
      </c>
      <c r="I237" s="2">
        <v>5</v>
      </c>
      <c r="J237" s="4">
        <v>0.10526315789473684</v>
      </c>
      <c r="K237" s="4">
        <v>0.14583333333333334</v>
      </c>
      <c r="L237" s="4">
        <v>8.6021505376344093E-2</v>
      </c>
      <c r="M237" s="4">
        <v>0.1368421052631579</v>
      </c>
      <c r="N237" s="6">
        <v>0.17045454545454544</v>
      </c>
      <c r="O237" s="6"/>
      <c r="P237" s="2" t="s">
        <v>1</v>
      </c>
      <c r="Q237">
        <v>3.5588235294117645</v>
      </c>
      <c r="R237">
        <v>3.2682926829268291</v>
      </c>
      <c r="S237">
        <v>3.447058823529412</v>
      </c>
      <c r="T237">
        <v>3.5487804878048781</v>
      </c>
      <c r="U237">
        <v>3.4657534246575343</v>
      </c>
    </row>
    <row r="238" spans="1:21" x14ac:dyDescent="0.35">
      <c r="A238" s="2" t="s">
        <v>77</v>
      </c>
      <c r="I238" s="2" t="s">
        <v>77</v>
      </c>
      <c r="J238" s="4">
        <v>0</v>
      </c>
      <c r="K238" s="4">
        <v>0</v>
      </c>
      <c r="L238" s="4">
        <v>0</v>
      </c>
      <c r="M238" s="4">
        <v>0</v>
      </c>
      <c r="N238" s="6">
        <v>0</v>
      </c>
      <c r="O238" s="6"/>
    </row>
    <row r="239" spans="1:21" x14ac:dyDescent="0.35">
      <c r="A239" s="2" t="s">
        <v>1</v>
      </c>
      <c r="B239">
        <v>76</v>
      </c>
      <c r="C239">
        <v>96</v>
      </c>
      <c r="D239">
        <v>93</v>
      </c>
      <c r="E239">
        <v>95</v>
      </c>
      <c r="F239">
        <v>88</v>
      </c>
      <c r="I239" s="2" t="s">
        <v>1</v>
      </c>
      <c r="J239" s="4">
        <v>1</v>
      </c>
      <c r="K239" s="4">
        <v>1</v>
      </c>
      <c r="L239" s="4">
        <v>1</v>
      </c>
      <c r="M239" s="4">
        <v>1</v>
      </c>
      <c r="N239" s="6">
        <v>1</v>
      </c>
      <c r="O239" s="6"/>
    </row>
    <row r="243" spans="1:21" x14ac:dyDescent="0.35">
      <c r="A243" s="1" t="s">
        <v>100</v>
      </c>
      <c r="B243" s="1" t="s">
        <v>23</v>
      </c>
      <c r="I243" s="1" t="s">
        <v>100</v>
      </c>
      <c r="J243" s="1" t="s">
        <v>23</v>
      </c>
      <c r="P243" s="1" t="s">
        <v>101</v>
      </c>
      <c r="Q243" s="1" t="s">
        <v>23</v>
      </c>
    </row>
    <row r="244" spans="1:21" x14ac:dyDescent="0.35">
      <c r="A244" s="1" t="s">
        <v>17</v>
      </c>
      <c r="B244">
        <v>2019</v>
      </c>
      <c r="C244">
        <v>2020</v>
      </c>
      <c r="D244">
        <v>2021</v>
      </c>
      <c r="E244">
        <v>2022</v>
      </c>
      <c r="F244">
        <v>2023</v>
      </c>
      <c r="I244" s="1" t="s">
        <v>17</v>
      </c>
      <c r="J244">
        <v>2019</v>
      </c>
      <c r="K244">
        <v>2020</v>
      </c>
      <c r="L244">
        <v>2021</v>
      </c>
      <c r="M244">
        <v>2022</v>
      </c>
      <c r="N244">
        <v>2023</v>
      </c>
      <c r="P244" s="1" t="s">
        <v>17</v>
      </c>
      <c r="Q244">
        <v>2019</v>
      </c>
      <c r="R244">
        <v>2020</v>
      </c>
      <c r="S244">
        <v>2021</v>
      </c>
      <c r="T244">
        <v>2022</v>
      </c>
      <c r="U244">
        <v>2023</v>
      </c>
    </row>
    <row r="245" spans="1:21" x14ac:dyDescent="0.35">
      <c r="A245" s="2">
        <v>2</v>
      </c>
      <c r="B245">
        <v>1</v>
      </c>
      <c r="C245">
        <v>2</v>
      </c>
      <c r="D245">
        <v>3</v>
      </c>
      <c r="E245">
        <v>4</v>
      </c>
      <c r="F245">
        <v>4</v>
      </c>
      <c r="I245" s="2">
        <v>2</v>
      </c>
      <c r="J245" s="4">
        <v>1.2658227848101266E-2</v>
      </c>
      <c r="K245" s="4">
        <v>2.1052631578947368E-2</v>
      </c>
      <c r="L245" s="4">
        <v>3.2258064516129031E-2</v>
      </c>
      <c r="M245" s="4">
        <v>4.1666666666666664E-2</v>
      </c>
      <c r="N245" s="6">
        <v>4.5977011494252873E-2</v>
      </c>
      <c r="O245" s="6"/>
      <c r="P245" s="2">
        <v>2</v>
      </c>
      <c r="Q245">
        <v>2</v>
      </c>
      <c r="R245">
        <v>2</v>
      </c>
      <c r="S245">
        <v>2</v>
      </c>
      <c r="T245">
        <v>2</v>
      </c>
      <c r="U245">
        <v>2</v>
      </c>
    </row>
    <row r="246" spans="1:21" x14ac:dyDescent="0.35">
      <c r="A246" s="2">
        <v>3</v>
      </c>
      <c r="B246">
        <v>21</v>
      </c>
      <c r="C246">
        <v>17</v>
      </c>
      <c r="D246">
        <v>12</v>
      </c>
      <c r="E246">
        <v>12</v>
      </c>
      <c r="F246">
        <v>12</v>
      </c>
      <c r="I246" s="2">
        <v>3</v>
      </c>
      <c r="J246" s="4">
        <v>0.26582278481012656</v>
      </c>
      <c r="K246" s="4">
        <v>0.17894736842105263</v>
      </c>
      <c r="L246" s="4">
        <v>0.12903225806451613</v>
      </c>
      <c r="M246" s="4">
        <v>0.125</v>
      </c>
      <c r="N246" s="6">
        <v>0.13793103448275862</v>
      </c>
      <c r="O246" s="6"/>
      <c r="P246" s="2">
        <v>3</v>
      </c>
      <c r="Q246">
        <v>3</v>
      </c>
      <c r="R246">
        <v>3</v>
      </c>
      <c r="S246">
        <v>3</v>
      </c>
      <c r="T246">
        <v>3</v>
      </c>
      <c r="U246">
        <v>3</v>
      </c>
    </row>
    <row r="247" spans="1:21" x14ac:dyDescent="0.35">
      <c r="A247" s="2">
        <v>4</v>
      </c>
      <c r="B247">
        <v>53</v>
      </c>
      <c r="C247">
        <v>66</v>
      </c>
      <c r="D247">
        <v>67</v>
      </c>
      <c r="E247">
        <v>71</v>
      </c>
      <c r="F247">
        <v>69</v>
      </c>
      <c r="I247" s="2">
        <v>4</v>
      </c>
      <c r="J247" s="4">
        <v>0.67088607594936711</v>
      </c>
      <c r="K247" s="4">
        <v>0.69473684210526321</v>
      </c>
      <c r="L247" s="4">
        <v>0.72043010752688175</v>
      </c>
      <c r="M247" s="4">
        <v>0.73958333333333337</v>
      </c>
      <c r="N247" s="6">
        <v>0.7931034482758621</v>
      </c>
      <c r="O247" s="6"/>
      <c r="P247" s="2">
        <v>4</v>
      </c>
      <c r="Q247">
        <v>4</v>
      </c>
      <c r="R247">
        <v>4</v>
      </c>
      <c r="S247">
        <v>4</v>
      </c>
      <c r="T247">
        <v>4</v>
      </c>
      <c r="U247">
        <v>4</v>
      </c>
    </row>
    <row r="248" spans="1:21" x14ac:dyDescent="0.35">
      <c r="A248" s="2">
        <v>5</v>
      </c>
      <c r="B248">
        <v>4</v>
      </c>
      <c r="C248">
        <v>7</v>
      </c>
      <c r="D248">
        <v>6</v>
      </c>
      <c r="E248">
        <v>6</v>
      </c>
      <c r="F248">
        <v>2</v>
      </c>
      <c r="I248" s="2">
        <v>5</v>
      </c>
      <c r="J248" s="4">
        <v>5.0632911392405063E-2</v>
      </c>
      <c r="K248" s="4">
        <v>7.3684210526315783E-2</v>
      </c>
      <c r="L248" s="4">
        <v>6.4516129032258063E-2</v>
      </c>
      <c r="M248" s="4">
        <v>6.25E-2</v>
      </c>
      <c r="N248" s="6">
        <v>2.2988505747126436E-2</v>
      </c>
      <c r="O248" s="6"/>
      <c r="P248" s="2">
        <v>1</v>
      </c>
      <c r="R248">
        <v>1</v>
      </c>
      <c r="S248">
        <v>1</v>
      </c>
      <c r="T248">
        <v>1</v>
      </c>
    </row>
    <row r="249" spans="1:21" x14ac:dyDescent="0.35">
      <c r="A249" s="2" t="s">
        <v>77</v>
      </c>
      <c r="I249" s="2" t="s">
        <v>77</v>
      </c>
      <c r="J249" s="4">
        <v>0</v>
      </c>
      <c r="K249" s="4">
        <v>0</v>
      </c>
      <c r="L249" s="4">
        <v>0</v>
      </c>
      <c r="M249" s="4">
        <v>0</v>
      </c>
      <c r="N249" s="6">
        <v>0</v>
      </c>
      <c r="O249" s="6"/>
      <c r="P249" s="2" t="s">
        <v>1</v>
      </c>
      <c r="Q249">
        <v>3.6933333333333334</v>
      </c>
      <c r="R249">
        <v>3.6590909090909092</v>
      </c>
      <c r="S249">
        <v>3.6206896551724137</v>
      </c>
      <c r="T249">
        <v>3.6777777777777776</v>
      </c>
      <c r="U249">
        <v>3.7647058823529411</v>
      </c>
    </row>
    <row r="250" spans="1:21" x14ac:dyDescent="0.35">
      <c r="A250" s="2">
        <v>1</v>
      </c>
      <c r="C250">
        <v>3</v>
      </c>
      <c r="D250">
        <v>5</v>
      </c>
      <c r="E250">
        <v>3</v>
      </c>
      <c r="I250" s="2">
        <v>1</v>
      </c>
      <c r="J250" s="4">
        <v>0</v>
      </c>
      <c r="K250" s="4">
        <v>3.1578947368421054E-2</v>
      </c>
      <c r="L250" s="4">
        <v>5.3763440860215055E-2</v>
      </c>
      <c r="M250" s="4">
        <v>3.125E-2</v>
      </c>
      <c r="N250" s="6">
        <v>0</v>
      </c>
      <c r="O250" s="6"/>
    </row>
    <row r="251" spans="1:21" x14ac:dyDescent="0.35">
      <c r="A251" s="2" t="s">
        <v>1</v>
      </c>
      <c r="B251">
        <v>79</v>
      </c>
      <c r="C251">
        <v>95</v>
      </c>
      <c r="D251">
        <v>93</v>
      </c>
      <c r="E251">
        <v>96</v>
      </c>
      <c r="F251">
        <v>87</v>
      </c>
      <c r="I251" s="2" t="s">
        <v>1</v>
      </c>
      <c r="J251" s="4">
        <v>1</v>
      </c>
      <c r="K251" s="4">
        <v>1</v>
      </c>
      <c r="L251" s="4">
        <v>1</v>
      </c>
      <c r="M251" s="4">
        <v>1</v>
      </c>
      <c r="N251" s="6">
        <v>1</v>
      </c>
      <c r="O251" s="6"/>
    </row>
    <row r="252" spans="1:21" x14ac:dyDescent="0.35">
      <c r="A252" s="2"/>
      <c r="I252" s="2"/>
      <c r="J252" s="6"/>
      <c r="K252" s="6"/>
      <c r="L252" s="6"/>
      <c r="M252" s="6"/>
      <c r="N252" s="6"/>
      <c r="O252" s="6"/>
    </row>
    <row r="254" spans="1:21" x14ac:dyDescent="0.35">
      <c r="A254" s="1" t="s">
        <v>102</v>
      </c>
      <c r="B254" s="1" t="s">
        <v>23</v>
      </c>
      <c r="I254" s="1" t="s">
        <v>102</v>
      </c>
      <c r="J254" s="1" t="s">
        <v>23</v>
      </c>
      <c r="P254" s="1" t="s">
        <v>103</v>
      </c>
      <c r="Q254" s="1" t="s">
        <v>23</v>
      </c>
    </row>
    <row r="255" spans="1:21" x14ac:dyDescent="0.35">
      <c r="A255" s="1" t="s">
        <v>17</v>
      </c>
      <c r="B255">
        <v>2019</v>
      </c>
      <c r="C255">
        <v>2020</v>
      </c>
      <c r="D255">
        <v>2021</v>
      </c>
      <c r="E255">
        <v>2022</v>
      </c>
      <c r="F255">
        <v>2023</v>
      </c>
      <c r="I255" s="1" t="s">
        <v>17</v>
      </c>
      <c r="J255">
        <v>2019</v>
      </c>
      <c r="K255">
        <v>2020</v>
      </c>
      <c r="L255">
        <v>2021</v>
      </c>
      <c r="M255">
        <v>2022</v>
      </c>
      <c r="N255">
        <v>2023</v>
      </c>
      <c r="P255" s="1" t="s">
        <v>17</v>
      </c>
      <c r="Q255">
        <v>2019</v>
      </c>
      <c r="R255">
        <v>2020</v>
      </c>
      <c r="S255">
        <v>2021</v>
      </c>
      <c r="T255">
        <v>2022</v>
      </c>
      <c r="U255">
        <v>2023</v>
      </c>
    </row>
    <row r="256" spans="1:21" x14ac:dyDescent="0.35">
      <c r="A256" s="2">
        <v>1</v>
      </c>
      <c r="B256">
        <v>6</v>
      </c>
      <c r="C256">
        <v>12</v>
      </c>
      <c r="D256">
        <v>8</v>
      </c>
      <c r="E256">
        <v>5</v>
      </c>
      <c r="F256">
        <v>3</v>
      </c>
      <c r="I256" s="2">
        <v>1</v>
      </c>
      <c r="J256" s="4">
        <v>7.5949367088607597E-2</v>
      </c>
      <c r="K256" s="4">
        <v>0.125</v>
      </c>
      <c r="L256" s="4">
        <v>8.7912087912087919E-2</v>
      </c>
      <c r="M256" s="4">
        <v>5.2631578947368418E-2</v>
      </c>
      <c r="N256" s="4">
        <v>3.4090909090909088E-2</v>
      </c>
      <c r="O256" s="4"/>
      <c r="P256" s="2">
        <v>1</v>
      </c>
      <c r="Q256">
        <v>1</v>
      </c>
      <c r="R256">
        <v>1</v>
      </c>
      <c r="S256">
        <v>1</v>
      </c>
      <c r="T256">
        <v>1</v>
      </c>
      <c r="U256">
        <v>1</v>
      </c>
    </row>
    <row r="257" spans="1:21" x14ac:dyDescent="0.35">
      <c r="A257" s="2">
        <v>2</v>
      </c>
      <c r="B257">
        <v>9</v>
      </c>
      <c r="C257">
        <v>19</v>
      </c>
      <c r="D257">
        <v>13</v>
      </c>
      <c r="E257">
        <v>13</v>
      </c>
      <c r="F257">
        <v>12</v>
      </c>
      <c r="I257" s="2">
        <v>2</v>
      </c>
      <c r="J257" s="4">
        <v>0.11392405063291139</v>
      </c>
      <c r="K257" s="4">
        <v>0.19791666666666666</v>
      </c>
      <c r="L257" s="4">
        <v>0.14285714285714285</v>
      </c>
      <c r="M257" s="4">
        <v>0.1368421052631579</v>
      </c>
      <c r="N257" s="4">
        <v>0.13636363636363635</v>
      </c>
      <c r="O257" s="4"/>
      <c r="P257" s="2">
        <v>2</v>
      </c>
      <c r="Q257">
        <v>2</v>
      </c>
      <c r="R257">
        <v>2</v>
      </c>
      <c r="S257">
        <v>2</v>
      </c>
      <c r="T257">
        <v>2</v>
      </c>
      <c r="U257">
        <v>2</v>
      </c>
    </row>
    <row r="258" spans="1:21" x14ac:dyDescent="0.35">
      <c r="A258" s="2">
        <v>3</v>
      </c>
      <c r="B258">
        <v>20</v>
      </c>
      <c r="C258">
        <v>25</v>
      </c>
      <c r="D258">
        <v>32</v>
      </c>
      <c r="E258">
        <v>44</v>
      </c>
      <c r="F258">
        <v>34</v>
      </c>
      <c r="I258" s="2">
        <v>3</v>
      </c>
      <c r="J258" s="4">
        <v>0.25316455696202533</v>
      </c>
      <c r="K258" s="4">
        <v>0.26041666666666669</v>
      </c>
      <c r="L258" s="4">
        <v>0.35164835164835168</v>
      </c>
      <c r="M258" s="4">
        <v>0.4631578947368421</v>
      </c>
      <c r="N258" s="4">
        <v>0.38636363636363635</v>
      </c>
      <c r="O258" s="4"/>
      <c r="P258" s="2">
        <v>3</v>
      </c>
      <c r="Q258">
        <v>3</v>
      </c>
      <c r="R258">
        <v>3</v>
      </c>
      <c r="S258">
        <v>3</v>
      </c>
      <c r="T258">
        <v>3</v>
      </c>
      <c r="U258">
        <v>3</v>
      </c>
    </row>
    <row r="259" spans="1:21" x14ac:dyDescent="0.35">
      <c r="A259" s="2">
        <v>4</v>
      </c>
      <c r="B259">
        <v>42</v>
      </c>
      <c r="C259">
        <v>37</v>
      </c>
      <c r="D259">
        <v>35</v>
      </c>
      <c r="E259">
        <v>31</v>
      </c>
      <c r="F259">
        <v>37</v>
      </c>
      <c r="I259" s="2">
        <v>4</v>
      </c>
      <c r="J259" s="4">
        <v>0.53164556962025311</v>
      </c>
      <c r="K259" s="4">
        <v>0.38541666666666669</v>
      </c>
      <c r="L259" s="4">
        <v>0.38461538461538464</v>
      </c>
      <c r="M259" s="4">
        <v>0.32631578947368423</v>
      </c>
      <c r="N259" s="4">
        <v>0.42045454545454547</v>
      </c>
      <c r="O259" s="4"/>
      <c r="P259" s="2">
        <v>4</v>
      </c>
      <c r="Q259">
        <v>4</v>
      </c>
      <c r="R259">
        <v>4</v>
      </c>
      <c r="S259">
        <v>4</v>
      </c>
      <c r="T259">
        <v>4</v>
      </c>
      <c r="U259">
        <v>4</v>
      </c>
    </row>
    <row r="260" spans="1:21" x14ac:dyDescent="0.35">
      <c r="A260" s="2">
        <v>5</v>
      </c>
      <c r="B260">
        <v>2</v>
      </c>
      <c r="C260">
        <v>3</v>
      </c>
      <c r="D260">
        <v>3</v>
      </c>
      <c r="E260">
        <v>2</v>
      </c>
      <c r="F260">
        <v>2</v>
      </c>
      <c r="I260" s="2">
        <v>5</v>
      </c>
      <c r="J260" s="4">
        <v>2.5316455696202531E-2</v>
      </c>
      <c r="K260" s="4">
        <v>3.125E-2</v>
      </c>
      <c r="L260" s="4">
        <v>3.2967032967032968E-2</v>
      </c>
      <c r="M260" s="4">
        <v>2.1052631578947368E-2</v>
      </c>
      <c r="N260" s="4">
        <v>2.2727272727272728E-2</v>
      </c>
      <c r="O260" s="4"/>
      <c r="P260" s="2" t="s">
        <v>1</v>
      </c>
      <c r="Q260">
        <v>3.2727272727272729</v>
      </c>
      <c r="R260">
        <v>2.935483870967742</v>
      </c>
      <c r="S260">
        <v>3.0681818181818183</v>
      </c>
      <c r="T260">
        <v>3.086021505376344</v>
      </c>
      <c r="U260">
        <v>3.2209302325581395</v>
      </c>
    </row>
    <row r="261" spans="1:21" x14ac:dyDescent="0.35">
      <c r="A261" s="2" t="s">
        <v>77</v>
      </c>
      <c r="I261" s="2" t="s">
        <v>77</v>
      </c>
      <c r="J261" s="4">
        <v>0</v>
      </c>
      <c r="K261" s="4">
        <v>0</v>
      </c>
      <c r="L261" s="4">
        <v>0</v>
      </c>
      <c r="M261" s="4">
        <v>0</v>
      </c>
      <c r="N261" s="4">
        <v>0</v>
      </c>
      <c r="O261" s="4"/>
    </row>
    <row r="262" spans="1:21" x14ac:dyDescent="0.35">
      <c r="A262" s="2" t="s">
        <v>1</v>
      </c>
      <c r="B262">
        <v>79</v>
      </c>
      <c r="C262">
        <v>96</v>
      </c>
      <c r="D262">
        <v>91</v>
      </c>
      <c r="E262">
        <v>95</v>
      </c>
      <c r="F262">
        <v>88</v>
      </c>
      <c r="I262" s="2" t="s">
        <v>1</v>
      </c>
      <c r="J262" s="4">
        <v>1</v>
      </c>
      <c r="K262" s="4">
        <v>1</v>
      </c>
      <c r="L262" s="4">
        <v>1</v>
      </c>
      <c r="M262" s="4">
        <v>1</v>
      </c>
      <c r="N262" s="6">
        <v>1</v>
      </c>
      <c r="O262" s="6"/>
    </row>
    <row r="264" spans="1:21" x14ac:dyDescent="0.35">
      <c r="P264" s="1" t="s">
        <v>105</v>
      </c>
      <c r="Q264" s="1" t="s">
        <v>23</v>
      </c>
    </row>
    <row r="265" spans="1:21" x14ac:dyDescent="0.35">
      <c r="A265" s="1" t="s">
        <v>104</v>
      </c>
      <c r="B265" s="1" t="s">
        <v>23</v>
      </c>
      <c r="I265" s="1" t="s">
        <v>104</v>
      </c>
      <c r="J265" s="1" t="s">
        <v>23</v>
      </c>
      <c r="P265" s="1" t="s">
        <v>17</v>
      </c>
      <c r="Q265">
        <v>2019</v>
      </c>
      <c r="R265">
        <v>2020</v>
      </c>
      <c r="S265">
        <v>2021</v>
      </c>
      <c r="T265">
        <v>2022</v>
      </c>
      <c r="U265">
        <v>2023</v>
      </c>
    </row>
    <row r="266" spans="1:21" x14ac:dyDescent="0.35">
      <c r="A266" s="1" t="s">
        <v>17</v>
      </c>
      <c r="B266">
        <v>2019</v>
      </c>
      <c r="C266">
        <v>2020</v>
      </c>
      <c r="D266">
        <v>2021</v>
      </c>
      <c r="E266">
        <v>2022</v>
      </c>
      <c r="F266">
        <v>2023</v>
      </c>
      <c r="I266" s="1" t="s">
        <v>17</v>
      </c>
      <c r="J266">
        <v>2019</v>
      </c>
      <c r="K266">
        <v>2020</v>
      </c>
      <c r="L266">
        <v>2021</v>
      </c>
      <c r="M266">
        <v>2022</v>
      </c>
      <c r="N266">
        <v>2023</v>
      </c>
      <c r="P266" s="2">
        <v>3</v>
      </c>
      <c r="Q266">
        <v>3</v>
      </c>
      <c r="R266">
        <v>3</v>
      </c>
      <c r="S266">
        <v>3</v>
      </c>
      <c r="T266">
        <v>3</v>
      </c>
      <c r="U266">
        <v>3</v>
      </c>
    </row>
    <row r="267" spans="1:21" x14ac:dyDescent="0.35">
      <c r="A267" s="2">
        <v>3</v>
      </c>
      <c r="B267">
        <v>14</v>
      </c>
      <c r="C267">
        <v>13</v>
      </c>
      <c r="D267">
        <v>17</v>
      </c>
      <c r="E267">
        <v>11</v>
      </c>
      <c r="F267">
        <v>18</v>
      </c>
      <c r="I267" s="2">
        <v>3</v>
      </c>
      <c r="J267" s="4">
        <v>0.18181818181818182</v>
      </c>
      <c r="K267" s="4">
        <v>0.13541666666666666</v>
      </c>
      <c r="L267" s="4">
        <v>0.18888888888888888</v>
      </c>
      <c r="M267" s="4">
        <v>0.1134020618556701</v>
      </c>
      <c r="N267" s="6">
        <v>0.20689655172413793</v>
      </c>
      <c r="O267" s="6"/>
      <c r="P267" s="2">
        <v>4</v>
      </c>
      <c r="Q267">
        <v>4</v>
      </c>
      <c r="R267">
        <v>4</v>
      </c>
      <c r="S267">
        <v>4</v>
      </c>
      <c r="T267">
        <v>4</v>
      </c>
      <c r="U267">
        <v>4</v>
      </c>
    </row>
    <row r="268" spans="1:21" x14ac:dyDescent="0.35">
      <c r="A268" s="2">
        <v>4</v>
      </c>
      <c r="B268">
        <v>62</v>
      </c>
      <c r="C268">
        <v>75</v>
      </c>
      <c r="D268">
        <v>60</v>
      </c>
      <c r="E268">
        <v>74</v>
      </c>
      <c r="F268">
        <v>61</v>
      </c>
      <c r="I268" s="2">
        <v>4</v>
      </c>
      <c r="J268" s="4">
        <v>0.80519480519480524</v>
      </c>
      <c r="K268" s="4">
        <v>0.78125</v>
      </c>
      <c r="L268" s="4">
        <v>0.66666666666666663</v>
      </c>
      <c r="M268" s="4">
        <v>0.76288659793814428</v>
      </c>
      <c r="N268" s="6">
        <v>0.70114942528735635</v>
      </c>
      <c r="O268" s="6"/>
      <c r="P268" s="2">
        <v>1</v>
      </c>
      <c r="R268">
        <v>1</v>
      </c>
      <c r="S268">
        <v>1</v>
      </c>
      <c r="T268">
        <v>1</v>
      </c>
      <c r="U268">
        <v>1</v>
      </c>
    </row>
    <row r="269" spans="1:21" x14ac:dyDescent="0.35">
      <c r="A269" s="2">
        <v>5</v>
      </c>
      <c r="B269">
        <v>1</v>
      </c>
      <c r="C269">
        <v>6</v>
      </c>
      <c r="D269">
        <v>10</v>
      </c>
      <c r="E269">
        <v>8</v>
      </c>
      <c r="F269">
        <v>4</v>
      </c>
      <c r="I269" s="2">
        <v>5</v>
      </c>
      <c r="J269" s="4">
        <v>1.2987012987012988E-2</v>
      </c>
      <c r="K269" s="4">
        <v>6.25E-2</v>
      </c>
      <c r="L269" s="4">
        <v>0.1111111111111111</v>
      </c>
      <c r="M269" s="4">
        <v>8.247422680412371E-2</v>
      </c>
      <c r="N269" s="6">
        <v>4.5977011494252873E-2</v>
      </c>
      <c r="O269" s="6"/>
      <c r="P269" s="2" t="s">
        <v>1</v>
      </c>
      <c r="Q269">
        <v>3.8157894736842106</v>
      </c>
      <c r="R269">
        <v>3.7888888888888888</v>
      </c>
      <c r="S269">
        <v>3.7088607594936707</v>
      </c>
      <c r="T269">
        <v>3.8045977011494254</v>
      </c>
      <c r="U269">
        <v>3.7037037037037037</v>
      </c>
    </row>
    <row r="270" spans="1:21" x14ac:dyDescent="0.35">
      <c r="A270" s="2" t="s">
        <v>77</v>
      </c>
      <c r="I270" s="2" t="s">
        <v>77</v>
      </c>
      <c r="J270" s="4">
        <v>0</v>
      </c>
      <c r="K270" s="4">
        <v>0</v>
      </c>
      <c r="L270" s="4">
        <v>0</v>
      </c>
      <c r="M270" s="4">
        <v>0</v>
      </c>
      <c r="N270" s="6">
        <v>0</v>
      </c>
      <c r="O270" s="6"/>
    </row>
    <row r="271" spans="1:21" x14ac:dyDescent="0.35">
      <c r="A271" s="2">
        <v>1</v>
      </c>
      <c r="C271">
        <v>2</v>
      </c>
      <c r="D271">
        <v>2</v>
      </c>
      <c r="E271">
        <v>2</v>
      </c>
      <c r="F271">
        <v>2</v>
      </c>
      <c r="I271" s="2">
        <v>1</v>
      </c>
      <c r="J271" s="4">
        <v>0</v>
      </c>
      <c r="K271" s="4">
        <v>2.0833333333333332E-2</v>
      </c>
      <c r="L271" s="4">
        <v>2.2222222222222223E-2</v>
      </c>
      <c r="M271" s="4">
        <v>2.0618556701030927E-2</v>
      </c>
      <c r="N271" s="6">
        <v>2.2988505747126436E-2</v>
      </c>
      <c r="O271" s="6"/>
    </row>
    <row r="272" spans="1:21" x14ac:dyDescent="0.35">
      <c r="A272" s="2">
        <v>2</v>
      </c>
      <c r="D272">
        <v>1</v>
      </c>
      <c r="E272">
        <v>2</v>
      </c>
      <c r="F272">
        <v>2</v>
      </c>
      <c r="I272" s="2">
        <v>2</v>
      </c>
      <c r="J272" s="4">
        <v>0</v>
      </c>
      <c r="K272" s="4">
        <v>0</v>
      </c>
      <c r="L272" s="4">
        <v>1.1111111111111112E-2</v>
      </c>
      <c r="M272" s="4">
        <v>2.0618556701030927E-2</v>
      </c>
      <c r="N272" s="6">
        <v>2.2988505747126436E-2</v>
      </c>
      <c r="O272" s="6"/>
    </row>
    <row r="273" spans="1:21" x14ac:dyDescent="0.35">
      <c r="A273" s="2" t="s">
        <v>1</v>
      </c>
      <c r="B273">
        <v>77</v>
      </c>
      <c r="C273">
        <v>96</v>
      </c>
      <c r="D273">
        <v>90</v>
      </c>
      <c r="E273">
        <v>97</v>
      </c>
      <c r="F273">
        <v>87</v>
      </c>
      <c r="I273" s="2" t="s">
        <v>1</v>
      </c>
      <c r="J273" s="4">
        <v>1</v>
      </c>
      <c r="K273" s="4">
        <v>1</v>
      </c>
      <c r="L273" s="4">
        <v>1</v>
      </c>
      <c r="M273" s="4">
        <v>1</v>
      </c>
      <c r="N273" s="6">
        <v>1</v>
      </c>
      <c r="O273" s="6"/>
    </row>
    <row r="274" spans="1:21" x14ac:dyDescent="0.35">
      <c r="A274" s="2"/>
      <c r="I274" s="2"/>
      <c r="J274" s="6"/>
      <c r="K274" s="6"/>
      <c r="L274" s="6"/>
      <c r="M274" s="6"/>
      <c r="N274" s="6"/>
      <c r="O274" s="6"/>
    </row>
    <row r="275" spans="1:21" x14ac:dyDescent="0.35">
      <c r="A275" s="2"/>
      <c r="I275" s="2"/>
      <c r="J275" s="6"/>
      <c r="K275" s="6"/>
      <c r="L275" s="6"/>
      <c r="M275" s="6"/>
      <c r="N275" s="6"/>
      <c r="O275" s="6"/>
    </row>
    <row r="276" spans="1:21" x14ac:dyDescent="0.35">
      <c r="A276" s="1" t="s">
        <v>106</v>
      </c>
      <c r="B276" s="1" t="s">
        <v>23</v>
      </c>
      <c r="I276" s="1" t="s">
        <v>106</v>
      </c>
      <c r="J276" s="1" t="s">
        <v>23</v>
      </c>
      <c r="P276" s="1" t="s">
        <v>107</v>
      </c>
      <c r="Q276" s="1" t="s">
        <v>23</v>
      </c>
    </row>
    <row r="277" spans="1:21" x14ac:dyDescent="0.35">
      <c r="A277" s="1" t="s">
        <v>17</v>
      </c>
      <c r="B277">
        <v>2019</v>
      </c>
      <c r="C277">
        <v>2020</v>
      </c>
      <c r="D277">
        <v>2021</v>
      </c>
      <c r="E277">
        <v>2022</v>
      </c>
      <c r="F277">
        <v>2023</v>
      </c>
      <c r="I277" s="1" t="s">
        <v>17</v>
      </c>
      <c r="J277">
        <v>2019</v>
      </c>
      <c r="K277">
        <v>2020</v>
      </c>
      <c r="L277">
        <v>2021</v>
      </c>
      <c r="M277">
        <v>2022</v>
      </c>
      <c r="N277">
        <v>2023</v>
      </c>
      <c r="P277" s="1" t="s">
        <v>17</v>
      </c>
      <c r="Q277">
        <v>2019</v>
      </c>
      <c r="R277">
        <v>2020</v>
      </c>
      <c r="S277">
        <v>2021</v>
      </c>
      <c r="T277">
        <v>2022</v>
      </c>
      <c r="U277">
        <v>2023</v>
      </c>
    </row>
    <row r="278" spans="1:21" x14ac:dyDescent="0.35">
      <c r="A278" s="2">
        <v>1</v>
      </c>
      <c r="B278">
        <v>2</v>
      </c>
      <c r="C278">
        <v>5</v>
      </c>
      <c r="D278">
        <v>11</v>
      </c>
      <c r="E278">
        <v>7</v>
      </c>
      <c r="F278">
        <v>9</v>
      </c>
      <c r="I278" s="2">
        <v>1</v>
      </c>
      <c r="J278" s="4">
        <v>2.5000000000000001E-2</v>
      </c>
      <c r="K278" s="4">
        <v>5.3191489361702128E-2</v>
      </c>
      <c r="L278" s="4">
        <v>0.11827956989247312</v>
      </c>
      <c r="M278" s="4">
        <v>7.1428571428571425E-2</v>
      </c>
      <c r="N278" s="6">
        <v>0.10344827586206896</v>
      </c>
      <c r="O278" s="6"/>
      <c r="P278" s="2">
        <v>1</v>
      </c>
      <c r="Q278">
        <v>1</v>
      </c>
      <c r="R278">
        <v>1</v>
      </c>
      <c r="S278">
        <v>1</v>
      </c>
      <c r="T278">
        <v>1</v>
      </c>
      <c r="U278">
        <v>1</v>
      </c>
    </row>
    <row r="279" spans="1:21" x14ac:dyDescent="0.35">
      <c r="A279" s="2">
        <v>2</v>
      </c>
      <c r="B279">
        <v>9</v>
      </c>
      <c r="C279">
        <v>11</v>
      </c>
      <c r="D279">
        <v>3</v>
      </c>
      <c r="E279">
        <v>11</v>
      </c>
      <c r="F279">
        <v>7</v>
      </c>
      <c r="I279" s="2">
        <v>2</v>
      </c>
      <c r="J279" s="4">
        <v>0.1125</v>
      </c>
      <c r="K279" s="4">
        <v>0.11702127659574468</v>
      </c>
      <c r="L279" s="4">
        <v>3.2258064516129031E-2</v>
      </c>
      <c r="M279" s="4">
        <v>0.11224489795918367</v>
      </c>
      <c r="N279" s="6">
        <v>8.0459770114942528E-2</v>
      </c>
      <c r="O279" s="6"/>
      <c r="P279" s="2">
        <v>2</v>
      </c>
      <c r="Q279">
        <v>2</v>
      </c>
      <c r="R279">
        <v>2</v>
      </c>
      <c r="S279">
        <v>2</v>
      </c>
      <c r="T279">
        <v>2</v>
      </c>
      <c r="U279">
        <v>2</v>
      </c>
    </row>
    <row r="280" spans="1:21" x14ac:dyDescent="0.35">
      <c r="A280" s="2">
        <v>3</v>
      </c>
      <c r="B280">
        <v>23</v>
      </c>
      <c r="C280">
        <v>36</v>
      </c>
      <c r="D280">
        <v>36</v>
      </c>
      <c r="E280">
        <v>35</v>
      </c>
      <c r="F280">
        <v>27</v>
      </c>
      <c r="I280" s="2">
        <v>3</v>
      </c>
      <c r="J280" s="4">
        <v>0.28749999999999998</v>
      </c>
      <c r="K280" s="4">
        <v>0.38297872340425532</v>
      </c>
      <c r="L280" s="4">
        <v>0.38709677419354838</v>
      </c>
      <c r="M280" s="4">
        <v>0.35714285714285715</v>
      </c>
      <c r="N280" s="6">
        <v>0.31034482758620691</v>
      </c>
      <c r="O280" s="6"/>
      <c r="P280" s="2">
        <v>3</v>
      </c>
      <c r="Q280">
        <v>3</v>
      </c>
      <c r="R280">
        <v>3</v>
      </c>
      <c r="S280">
        <v>3</v>
      </c>
      <c r="T280">
        <v>3</v>
      </c>
      <c r="U280">
        <v>3</v>
      </c>
    </row>
    <row r="281" spans="1:21" x14ac:dyDescent="0.35">
      <c r="A281" s="2">
        <v>4</v>
      </c>
      <c r="B281">
        <v>42</v>
      </c>
      <c r="C281">
        <v>36</v>
      </c>
      <c r="D281">
        <v>35</v>
      </c>
      <c r="E281">
        <v>38</v>
      </c>
      <c r="F281">
        <v>33</v>
      </c>
      <c r="I281" s="2">
        <v>4</v>
      </c>
      <c r="J281" s="4">
        <v>0.52500000000000002</v>
      </c>
      <c r="K281" s="4">
        <v>0.38297872340425532</v>
      </c>
      <c r="L281" s="4">
        <v>0.37634408602150538</v>
      </c>
      <c r="M281" s="4">
        <v>0.38775510204081631</v>
      </c>
      <c r="N281" s="6">
        <v>0.37931034482758619</v>
      </c>
      <c r="O281" s="6"/>
      <c r="P281" s="2">
        <v>4</v>
      </c>
      <c r="Q281">
        <v>4</v>
      </c>
      <c r="R281">
        <v>4</v>
      </c>
      <c r="S281">
        <v>4</v>
      </c>
      <c r="T281">
        <v>4</v>
      </c>
      <c r="U281">
        <v>4</v>
      </c>
    </row>
    <row r="282" spans="1:21" x14ac:dyDescent="0.35">
      <c r="A282" s="2">
        <v>5</v>
      </c>
      <c r="B282">
        <v>4</v>
      </c>
      <c r="C282">
        <v>6</v>
      </c>
      <c r="D282">
        <v>8</v>
      </c>
      <c r="E282">
        <v>7</v>
      </c>
      <c r="F282">
        <v>11</v>
      </c>
      <c r="I282" s="2">
        <v>5</v>
      </c>
      <c r="J282" s="4">
        <v>0.05</v>
      </c>
      <c r="K282" s="4">
        <v>6.3829787234042548E-2</v>
      </c>
      <c r="L282" s="4">
        <v>8.6021505376344093E-2</v>
      </c>
      <c r="M282" s="4">
        <v>7.1428571428571425E-2</v>
      </c>
      <c r="N282" s="6">
        <v>0.12643678160919541</v>
      </c>
      <c r="O282" s="6"/>
      <c r="P282" s="2" t="s">
        <v>1</v>
      </c>
      <c r="Q282">
        <v>3.3815789473684212</v>
      </c>
      <c r="R282">
        <v>3.1704545454545454</v>
      </c>
      <c r="S282">
        <v>3.1176470588235294</v>
      </c>
      <c r="T282">
        <v>3.1428571428571428</v>
      </c>
      <c r="U282">
        <v>3.1052631578947367</v>
      </c>
    </row>
    <row r="283" spans="1:21" x14ac:dyDescent="0.35">
      <c r="A283" s="2" t="s">
        <v>77</v>
      </c>
      <c r="I283" s="2" t="s">
        <v>77</v>
      </c>
      <c r="J283" s="4">
        <v>0</v>
      </c>
      <c r="K283" s="4">
        <v>0</v>
      </c>
      <c r="L283" s="4">
        <v>0</v>
      </c>
      <c r="M283" s="4">
        <v>0</v>
      </c>
      <c r="N283" s="6">
        <v>0</v>
      </c>
      <c r="O283" s="6"/>
    </row>
    <row r="284" spans="1:21" x14ac:dyDescent="0.35">
      <c r="A284" s="2" t="s">
        <v>1</v>
      </c>
      <c r="B284">
        <v>80</v>
      </c>
      <c r="C284">
        <v>94</v>
      </c>
      <c r="D284">
        <v>93</v>
      </c>
      <c r="E284">
        <v>98</v>
      </c>
      <c r="F284">
        <v>87</v>
      </c>
      <c r="I284" s="2" t="s">
        <v>1</v>
      </c>
      <c r="J284" s="4">
        <v>1</v>
      </c>
      <c r="K284" s="4">
        <v>1</v>
      </c>
      <c r="L284" s="4">
        <v>1</v>
      </c>
      <c r="M284" s="4">
        <v>1</v>
      </c>
      <c r="N284" s="6">
        <v>1</v>
      </c>
      <c r="O284" s="6"/>
      <c r="Q284" s="3"/>
    </row>
    <row r="285" spans="1:21" x14ac:dyDescent="0.35">
      <c r="A285" s="2"/>
      <c r="I285" s="2"/>
      <c r="J285" s="6"/>
      <c r="K285" s="6"/>
      <c r="L285" s="6"/>
      <c r="M285" s="6"/>
      <c r="N285" s="6"/>
      <c r="O285" s="6"/>
      <c r="Q285" s="3"/>
    </row>
    <row r="286" spans="1:21" x14ac:dyDescent="0.35">
      <c r="Q286" s="3"/>
    </row>
    <row r="287" spans="1:21" x14ac:dyDescent="0.35">
      <c r="A287" s="1" t="s">
        <v>108</v>
      </c>
      <c r="B287" s="1" t="s">
        <v>23</v>
      </c>
      <c r="I287" s="1" t="s">
        <v>108</v>
      </c>
      <c r="J287" s="1" t="s">
        <v>23</v>
      </c>
      <c r="P287" s="1" t="s">
        <v>109</v>
      </c>
      <c r="Q287" s="1" t="s">
        <v>23</v>
      </c>
    </row>
    <row r="288" spans="1:21" x14ac:dyDescent="0.35">
      <c r="A288" s="1" t="s">
        <v>17</v>
      </c>
      <c r="B288">
        <v>2019</v>
      </c>
      <c r="C288">
        <v>2020</v>
      </c>
      <c r="D288">
        <v>2021</v>
      </c>
      <c r="E288">
        <v>2022</v>
      </c>
      <c r="F288">
        <v>2023</v>
      </c>
      <c r="I288" s="1" t="s">
        <v>17</v>
      </c>
      <c r="J288">
        <v>2019</v>
      </c>
      <c r="K288">
        <v>2020</v>
      </c>
      <c r="L288">
        <v>2021</v>
      </c>
      <c r="M288">
        <v>2022</v>
      </c>
      <c r="N288">
        <v>2023</v>
      </c>
      <c r="P288" s="1" t="s">
        <v>17</v>
      </c>
      <c r="Q288">
        <v>2019</v>
      </c>
      <c r="R288">
        <v>2020</v>
      </c>
      <c r="S288">
        <v>2021</v>
      </c>
      <c r="T288">
        <v>2022</v>
      </c>
      <c r="U288">
        <v>2023</v>
      </c>
    </row>
    <row r="289" spans="1:21" x14ac:dyDescent="0.35">
      <c r="A289" s="2">
        <v>1</v>
      </c>
      <c r="B289">
        <v>3</v>
      </c>
      <c r="C289">
        <v>5</v>
      </c>
      <c r="D289">
        <v>7</v>
      </c>
      <c r="E289">
        <v>4</v>
      </c>
      <c r="F289">
        <v>5</v>
      </c>
      <c r="I289" s="2">
        <v>1</v>
      </c>
      <c r="J289" s="4">
        <v>3.7499999999999999E-2</v>
      </c>
      <c r="K289" s="4">
        <v>5.2083333333333336E-2</v>
      </c>
      <c r="L289" s="4">
        <v>7.5268817204301078E-2</v>
      </c>
      <c r="M289" s="4">
        <v>4.0816326530612242E-2</v>
      </c>
      <c r="N289" s="6">
        <v>5.7471264367816091E-2</v>
      </c>
      <c r="O289" s="6"/>
      <c r="P289" s="2">
        <v>1</v>
      </c>
      <c r="Q289">
        <v>1</v>
      </c>
      <c r="R289">
        <v>1</v>
      </c>
      <c r="S289">
        <v>1</v>
      </c>
      <c r="T289">
        <v>1</v>
      </c>
      <c r="U289">
        <v>1</v>
      </c>
    </row>
    <row r="290" spans="1:21" x14ac:dyDescent="0.35">
      <c r="A290" s="2">
        <v>2</v>
      </c>
      <c r="B290">
        <v>2</v>
      </c>
      <c r="C290">
        <v>3</v>
      </c>
      <c r="D290">
        <v>5</v>
      </c>
      <c r="E290">
        <v>7</v>
      </c>
      <c r="F290">
        <v>6</v>
      </c>
      <c r="I290" s="2">
        <v>2</v>
      </c>
      <c r="J290" s="4">
        <v>2.5000000000000001E-2</v>
      </c>
      <c r="K290" s="4">
        <v>3.125E-2</v>
      </c>
      <c r="L290" s="4">
        <v>5.3763440860215055E-2</v>
      </c>
      <c r="M290" s="4">
        <v>7.1428571428571425E-2</v>
      </c>
      <c r="N290" s="6">
        <v>6.8965517241379309E-2</v>
      </c>
      <c r="O290" s="6"/>
      <c r="P290" s="2">
        <v>2</v>
      </c>
      <c r="Q290">
        <v>2</v>
      </c>
      <c r="R290">
        <v>2</v>
      </c>
      <c r="S290">
        <v>2</v>
      </c>
      <c r="T290">
        <v>2</v>
      </c>
      <c r="U290">
        <v>2</v>
      </c>
    </row>
    <row r="291" spans="1:21" x14ac:dyDescent="0.35">
      <c r="A291" s="2">
        <v>3</v>
      </c>
      <c r="B291">
        <v>22</v>
      </c>
      <c r="C291">
        <v>28</v>
      </c>
      <c r="D291">
        <v>23</v>
      </c>
      <c r="E291">
        <v>22</v>
      </c>
      <c r="F291">
        <v>26</v>
      </c>
      <c r="I291" s="2">
        <v>3</v>
      </c>
      <c r="J291" s="4">
        <v>0.27500000000000002</v>
      </c>
      <c r="K291" s="4">
        <v>0.29166666666666669</v>
      </c>
      <c r="L291" s="4">
        <v>0.24731182795698925</v>
      </c>
      <c r="M291" s="4">
        <v>0.22448979591836735</v>
      </c>
      <c r="N291" s="6">
        <v>0.2988505747126437</v>
      </c>
      <c r="O291" s="6"/>
      <c r="P291" s="2">
        <v>3</v>
      </c>
      <c r="Q291">
        <v>3</v>
      </c>
      <c r="R291">
        <v>3</v>
      </c>
      <c r="S291">
        <v>3</v>
      </c>
      <c r="T291">
        <v>3</v>
      </c>
      <c r="U291">
        <v>3</v>
      </c>
    </row>
    <row r="292" spans="1:21" x14ac:dyDescent="0.35">
      <c r="A292" s="2">
        <v>4</v>
      </c>
      <c r="B292">
        <v>51</v>
      </c>
      <c r="C292">
        <v>54</v>
      </c>
      <c r="D292">
        <v>50</v>
      </c>
      <c r="E292">
        <v>62</v>
      </c>
      <c r="F292">
        <v>47</v>
      </c>
      <c r="I292" s="2">
        <v>4</v>
      </c>
      <c r="J292" s="4">
        <v>0.63749999999999996</v>
      </c>
      <c r="K292" s="4">
        <v>0.5625</v>
      </c>
      <c r="L292" s="4">
        <v>0.5376344086021505</v>
      </c>
      <c r="M292" s="4">
        <v>0.63265306122448983</v>
      </c>
      <c r="N292" s="6">
        <v>0.54022988505747127</v>
      </c>
      <c r="O292" s="6"/>
      <c r="P292" s="2">
        <v>4</v>
      </c>
      <c r="Q292">
        <v>4</v>
      </c>
      <c r="R292">
        <v>4</v>
      </c>
      <c r="S292">
        <v>4</v>
      </c>
      <c r="T292">
        <v>4</v>
      </c>
      <c r="U292">
        <v>4</v>
      </c>
    </row>
    <row r="293" spans="1:21" x14ac:dyDescent="0.35">
      <c r="A293" s="2">
        <v>5</v>
      </c>
      <c r="B293">
        <v>2</v>
      </c>
      <c r="C293">
        <v>6</v>
      </c>
      <c r="D293">
        <v>8</v>
      </c>
      <c r="E293">
        <v>3</v>
      </c>
      <c r="F293">
        <v>3</v>
      </c>
      <c r="I293" s="2">
        <v>5</v>
      </c>
      <c r="J293" s="4">
        <v>2.5000000000000001E-2</v>
      </c>
      <c r="K293" s="4">
        <v>6.25E-2</v>
      </c>
      <c r="L293" s="4">
        <v>8.6021505376344093E-2</v>
      </c>
      <c r="M293" s="4">
        <v>3.0612244897959183E-2</v>
      </c>
      <c r="N293" s="6">
        <v>3.4482758620689655E-2</v>
      </c>
      <c r="O293" s="6"/>
      <c r="P293" s="2" t="s">
        <v>1</v>
      </c>
      <c r="Q293">
        <v>3.5512820512820511</v>
      </c>
      <c r="R293">
        <v>3.4555555555555557</v>
      </c>
      <c r="S293">
        <v>3.3647058823529412</v>
      </c>
      <c r="T293">
        <v>3.4947368421052634</v>
      </c>
      <c r="U293">
        <v>3.3690476190476191</v>
      </c>
    </row>
    <row r="294" spans="1:21" x14ac:dyDescent="0.35">
      <c r="A294" s="2" t="s">
        <v>77</v>
      </c>
      <c r="I294" s="2" t="s">
        <v>77</v>
      </c>
      <c r="J294" s="4">
        <v>0</v>
      </c>
      <c r="K294" s="4">
        <v>0</v>
      </c>
      <c r="L294" s="4">
        <v>0</v>
      </c>
      <c r="M294" s="4">
        <v>0</v>
      </c>
      <c r="N294" s="6">
        <v>0</v>
      </c>
      <c r="O294" s="6"/>
    </row>
    <row r="295" spans="1:21" x14ac:dyDescent="0.35">
      <c r="A295" s="2" t="s">
        <v>1</v>
      </c>
      <c r="B295">
        <v>80</v>
      </c>
      <c r="C295">
        <v>96</v>
      </c>
      <c r="D295">
        <v>93</v>
      </c>
      <c r="E295">
        <v>98</v>
      </c>
      <c r="F295">
        <v>87</v>
      </c>
      <c r="I295" s="2" t="s">
        <v>1</v>
      </c>
      <c r="J295" s="4">
        <v>1</v>
      </c>
      <c r="K295" s="4">
        <v>1</v>
      </c>
      <c r="L295" s="4">
        <v>1</v>
      </c>
      <c r="M295" s="4">
        <v>1</v>
      </c>
      <c r="N295" s="6">
        <v>1</v>
      </c>
      <c r="O295" s="6"/>
    </row>
    <row r="296" spans="1:21" x14ac:dyDescent="0.35">
      <c r="A296" s="2"/>
      <c r="I296" s="2"/>
      <c r="J296" s="6"/>
      <c r="K296" s="6"/>
      <c r="L296" s="6"/>
      <c r="M296" s="6"/>
      <c r="N296" s="6"/>
      <c r="O296" s="6"/>
    </row>
    <row r="298" spans="1:21" x14ac:dyDescent="0.35">
      <c r="A298" s="1" t="s">
        <v>110</v>
      </c>
      <c r="B298" s="1" t="s">
        <v>23</v>
      </c>
      <c r="I298" s="1" t="s">
        <v>110</v>
      </c>
      <c r="J298" s="1" t="s">
        <v>23</v>
      </c>
      <c r="P298" s="1" t="s">
        <v>111</v>
      </c>
      <c r="Q298" s="1" t="s">
        <v>23</v>
      </c>
    </row>
    <row r="299" spans="1:21" x14ac:dyDescent="0.35">
      <c r="A299" s="1" t="s">
        <v>17</v>
      </c>
      <c r="B299">
        <v>2019</v>
      </c>
      <c r="C299">
        <v>2020</v>
      </c>
      <c r="D299">
        <v>2021</v>
      </c>
      <c r="E299">
        <v>2022</v>
      </c>
      <c r="F299">
        <v>2023</v>
      </c>
      <c r="I299" s="1" t="s">
        <v>17</v>
      </c>
      <c r="J299">
        <v>2019</v>
      </c>
      <c r="K299">
        <v>2020</v>
      </c>
      <c r="L299">
        <v>2021</v>
      </c>
      <c r="M299">
        <v>2022</v>
      </c>
      <c r="N299">
        <v>2023</v>
      </c>
      <c r="P299" s="1" t="s">
        <v>17</v>
      </c>
      <c r="Q299">
        <v>2019</v>
      </c>
      <c r="R299">
        <v>2020</v>
      </c>
      <c r="S299">
        <v>2021</v>
      </c>
      <c r="T299">
        <v>2022</v>
      </c>
      <c r="U299">
        <v>2023</v>
      </c>
    </row>
    <row r="300" spans="1:21" x14ac:dyDescent="0.35">
      <c r="A300" s="2">
        <v>2</v>
      </c>
      <c r="B300">
        <v>3</v>
      </c>
      <c r="C300">
        <v>6</v>
      </c>
      <c r="D300">
        <v>2</v>
      </c>
      <c r="E300">
        <v>3</v>
      </c>
      <c r="F300">
        <v>4</v>
      </c>
      <c r="I300" s="2">
        <v>2</v>
      </c>
      <c r="J300" s="4">
        <v>3.7499999999999999E-2</v>
      </c>
      <c r="K300" s="4">
        <v>6.5934065934065936E-2</v>
      </c>
      <c r="L300" s="4">
        <v>2.2988505747126436E-2</v>
      </c>
      <c r="M300" s="4">
        <v>3.1578947368421054E-2</v>
      </c>
      <c r="N300" s="4">
        <v>4.878048780487805E-2</v>
      </c>
      <c r="P300" s="2">
        <v>2</v>
      </c>
      <c r="Q300">
        <v>2</v>
      </c>
      <c r="R300">
        <v>2</v>
      </c>
      <c r="S300">
        <v>2</v>
      </c>
      <c r="T300">
        <v>2</v>
      </c>
      <c r="U300">
        <v>2</v>
      </c>
    </row>
    <row r="301" spans="1:21" x14ac:dyDescent="0.35">
      <c r="A301" s="2">
        <v>3</v>
      </c>
      <c r="B301">
        <v>22</v>
      </c>
      <c r="C301">
        <v>28</v>
      </c>
      <c r="D301">
        <v>24</v>
      </c>
      <c r="E301">
        <v>25</v>
      </c>
      <c r="F301">
        <v>27</v>
      </c>
      <c r="I301" s="2">
        <v>3</v>
      </c>
      <c r="J301" s="4">
        <v>0.27500000000000002</v>
      </c>
      <c r="K301" s="4">
        <v>0.30769230769230771</v>
      </c>
      <c r="L301" s="4">
        <v>0.27586206896551724</v>
      </c>
      <c r="M301" s="4">
        <v>0.26315789473684209</v>
      </c>
      <c r="N301" s="4">
        <v>0.32926829268292684</v>
      </c>
      <c r="P301" s="2">
        <v>3</v>
      </c>
      <c r="Q301">
        <v>3</v>
      </c>
      <c r="R301">
        <v>3</v>
      </c>
      <c r="S301">
        <v>3</v>
      </c>
      <c r="T301">
        <v>3</v>
      </c>
      <c r="U301">
        <v>3</v>
      </c>
    </row>
    <row r="302" spans="1:21" x14ac:dyDescent="0.35">
      <c r="A302" s="2">
        <v>4</v>
      </c>
      <c r="B302">
        <v>53</v>
      </c>
      <c r="C302">
        <v>50</v>
      </c>
      <c r="D302">
        <v>53</v>
      </c>
      <c r="E302">
        <v>52</v>
      </c>
      <c r="F302">
        <v>40</v>
      </c>
      <c r="I302" s="2">
        <v>4</v>
      </c>
      <c r="J302" s="4">
        <v>0.66249999999999998</v>
      </c>
      <c r="K302" s="4">
        <v>0.5494505494505495</v>
      </c>
      <c r="L302" s="4">
        <v>0.60919540229885061</v>
      </c>
      <c r="M302" s="4">
        <v>0.54736842105263162</v>
      </c>
      <c r="N302" s="4">
        <v>0.48780487804878048</v>
      </c>
      <c r="P302" s="2">
        <v>4</v>
      </c>
      <c r="Q302">
        <v>4</v>
      </c>
      <c r="R302">
        <v>4</v>
      </c>
      <c r="S302">
        <v>4</v>
      </c>
      <c r="T302">
        <v>4</v>
      </c>
      <c r="U302">
        <v>4</v>
      </c>
    </row>
    <row r="303" spans="1:21" x14ac:dyDescent="0.35">
      <c r="A303" s="2">
        <v>5</v>
      </c>
      <c r="B303">
        <v>2</v>
      </c>
      <c r="C303">
        <v>7</v>
      </c>
      <c r="D303">
        <v>8</v>
      </c>
      <c r="E303">
        <v>15</v>
      </c>
      <c r="F303">
        <v>11</v>
      </c>
      <c r="I303" s="2">
        <v>5</v>
      </c>
      <c r="J303" s="4">
        <v>2.5000000000000001E-2</v>
      </c>
      <c r="K303" s="4">
        <v>7.6923076923076927E-2</v>
      </c>
      <c r="L303" s="4">
        <v>9.1954022988505746E-2</v>
      </c>
      <c r="M303" s="4">
        <v>0.15789473684210525</v>
      </c>
      <c r="N303" s="4">
        <v>0.13414634146341464</v>
      </c>
      <c r="P303" s="2">
        <v>1</v>
      </c>
      <c r="R303">
        <v>1</v>
      </c>
      <c r="S303">
        <v>1</v>
      </c>
      <c r="T303">
        <v>1</v>
      </c>
      <c r="U303">
        <v>1</v>
      </c>
    </row>
    <row r="304" spans="1:21" x14ac:dyDescent="0.35">
      <c r="A304" s="2" t="s">
        <v>77</v>
      </c>
      <c r="I304" s="2" t="s">
        <v>1</v>
      </c>
      <c r="J304" s="4">
        <v>1</v>
      </c>
      <c r="K304" s="4">
        <v>1</v>
      </c>
      <c r="L304" s="4">
        <v>1</v>
      </c>
      <c r="M304" s="4">
        <v>1</v>
      </c>
      <c r="N304" s="4">
        <v>1</v>
      </c>
      <c r="P304" s="2" t="s">
        <v>1</v>
      </c>
      <c r="Q304">
        <v>3.641025641025641</v>
      </c>
      <c r="R304">
        <v>3.4367816091954024</v>
      </c>
      <c r="S304">
        <v>3.4302325581395348</v>
      </c>
      <c r="T304">
        <v>3.4880952380952381</v>
      </c>
      <c r="U304">
        <v>3.4054054054054053</v>
      </c>
    </row>
    <row r="305" spans="1:21" x14ac:dyDescent="0.35">
      <c r="A305" s="2">
        <v>1</v>
      </c>
      <c r="C305">
        <v>3</v>
      </c>
      <c r="D305">
        <v>7</v>
      </c>
      <c r="E305">
        <v>4</v>
      </c>
      <c r="F305">
        <v>3</v>
      </c>
    </row>
    <row r="306" spans="1:21" x14ac:dyDescent="0.35">
      <c r="A306" s="2" t="s">
        <v>1</v>
      </c>
      <c r="B306">
        <v>80</v>
      </c>
      <c r="C306">
        <v>94</v>
      </c>
      <c r="D306">
        <v>94</v>
      </c>
      <c r="E306">
        <v>99</v>
      </c>
      <c r="F306">
        <v>85</v>
      </c>
    </row>
    <row r="307" spans="1:21" x14ac:dyDescent="0.35">
      <c r="A307" s="2"/>
    </row>
    <row r="308" spans="1:21" x14ac:dyDescent="0.35">
      <c r="A308" s="2"/>
    </row>
    <row r="309" spans="1:21" x14ac:dyDescent="0.35">
      <c r="A309" s="1" t="s">
        <v>112</v>
      </c>
      <c r="B309" s="1" t="s">
        <v>23</v>
      </c>
      <c r="I309" s="1" t="s">
        <v>112</v>
      </c>
      <c r="J309" s="1" t="s">
        <v>23</v>
      </c>
      <c r="P309" s="1" t="s">
        <v>113</v>
      </c>
      <c r="Q309" s="1" t="s">
        <v>23</v>
      </c>
    </row>
    <row r="310" spans="1:21" x14ac:dyDescent="0.35">
      <c r="A310" s="1" t="s">
        <v>17</v>
      </c>
      <c r="B310">
        <v>2019</v>
      </c>
      <c r="C310">
        <v>2020</v>
      </c>
      <c r="D310">
        <v>2021</v>
      </c>
      <c r="E310">
        <v>2022</v>
      </c>
      <c r="F310">
        <v>2023</v>
      </c>
      <c r="I310" s="1" t="s">
        <v>17</v>
      </c>
      <c r="J310">
        <v>2019</v>
      </c>
      <c r="K310">
        <v>2020</v>
      </c>
      <c r="L310">
        <v>2021</v>
      </c>
      <c r="M310">
        <v>2022</v>
      </c>
      <c r="N310">
        <v>2023</v>
      </c>
      <c r="P310" s="1" t="s">
        <v>17</v>
      </c>
      <c r="Q310">
        <v>2019</v>
      </c>
      <c r="R310">
        <v>2020</v>
      </c>
      <c r="S310">
        <v>2021</v>
      </c>
      <c r="T310">
        <v>2022</v>
      </c>
      <c r="U310">
        <v>2023</v>
      </c>
    </row>
    <row r="311" spans="1:21" x14ac:dyDescent="0.35">
      <c r="A311" s="2">
        <v>1</v>
      </c>
      <c r="B311">
        <v>4</v>
      </c>
      <c r="D311">
        <v>3</v>
      </c>
      <c r="E311">
        <v>3</v>
      </c>
      <c r="F311">
        <v>2</v>
      </c>
      <c r="I311" s="2">
        <v>1</v>
      </c>
      <c r="J311" s="4">
        <v>0.05</v>
      </c>
      <c r="K311" s="4">
        <v>0</v>
      </c>
      <c r="L311" s="4">
        <v>3.2258064516129031E-2</v>
      </c>
      <c r="M311" s="4">
        <v>3.0927835051546393E-2</v>
      </c>
      <c r="N311" s="4">
        <v>2.2988505747126436E-2</v>
      </c>
      <c r="O311" s="4"/>
      <c r="P311" s="2">
        <v>1</v>
      </c>
      <c r="Q311">
        <v>1</v>
      </c>
      <c r="S311">
        <v>1</v>
      </c>
      <c r="T311">
        <v>1</v>
      </c>
      <c r="U311">
        <v>1</v>
      </c>
    </row>
    <row r="312" spans="1:21" x14ac:dyDescent="0.35">
      <c r="A312" s="2">
        <v>2</v>
      </c>
      <c r="B312">
        <v>12</v>
      </c>
      <c r="C312">
        <v>2</v>
      </c>
      <c r="D312">
        <v>1</v>
      </c>
      <c r="E312">
        <v>3</v>
      </c>
      <c r="F312">
        <v>2</v>
      </c>
      <c r="I312" s="2">
        <v>2</v>
      </c>
      <c r="J312" s="4">
        <v>0.15</v>
      </c>
      <c r="K312" s="4">
        <v>2.1052631578947368E-2</v>
      </c>
      <c r="L312" s="4">
        <v>1.0752688172043012E-2</v>
      </c>
      <c r="M312" s="4">
        <v>3.0927835051546393E-2</v>
      </c>
      <c r="N312" s="4">
        <v>2.2988505747126436E-2</v>
      </c>
      <c r="O312" s="4"/>
      <c r="P312" s="2">
        <v>2</v>
      </c>
      <c r="Q312">
        <v>2</v>
      </c>
      <c r="R312">
        <v>2</v>
      </c>
      <c r="S312">
        <v>2</v>
      </c>
      <c r="T312">
        <v>2</v>
      </c>
      <c r="U312">
        <v>2</v>
      </c>
    </row>
    <row r="313" spans="1:21" x14ac:dyDescent="0.35">
      <c r="A313" s="2">
        <v>3</v>
      </c>
      <c r="B313">
        <v>24</v>
      </c>
      <c r="C313">
        <v>18</v>
      </c>
      <c r="D313">
        <v>19</v>
      </c>
      <c r="E313">
        <v>17</v>
      </c>
      <c r="F313">
        <v>18</v>
      </c>
      <c r="I313" s="2">
        <v>3</v>
      </c>
      <c r="J313" s="4">
        <v>0.3</v>
      </c>
      <c r="K313" s="4">
        <v>0.18947368421052632</v>
      </c>
      <c r="L313" s="4">
        <v>0.20430107526881722</v>
      </c>
      <c r="M313" s="4">
        <v>0.17525773195876287</v>
      </c>
      <c r="N313" s="4">
        <v>0.20689655172413793</v>
      </c>
      <c r="O313" s="4"/>
      <c r="P313" s="2">
        <v>3</v>
      </c>
      <c r="Q313">
        <v>3</v>
      </c>
      <c r="R313">
        <v>3</v>
      </c>
      <c r="S313">
        <v>3</v>
      </c>
      <c r="T313">
        <v>3</v>
      </c>
      <c r="U313">
        <v>3</v>
      </c>
    </row>
    <row r="314" spans="1:21" x14ac:dyDescent="0.35">
      <c r="A314" s="2">
        <v>4</v>
      </c>
      <c r="B314">
        <v>37</v>
      </c>
      <c r="C314">
        <v>65</v>
      </c>
      <c r="D314">
        <v>57</v>
      </c>
      <c r="E314">
        <v>61</v>
      </c>
      <c r="F314">
        <v>45</v>
      </c>
      <c r="I314" s="2">
        <v>4</v>
      </c>
      <c r="J314" s="4">
        <v>0.46250000000000002</v>
      </c>
      <c r="K314" s="4">
        <v>0.68421052631578949</v>
      </c>
      <c r="L314" s="4">
        <v>0.61290322580645162</v>
      </c>
      <c r="M314" s="4">
        <v>0.62886597938144329</v>
      </c>
      <c r="N314" s="4">
        <v>0.51724137931034486</v>
      </c>
      <c r="O314" s="4"/>
      <c r="P314" s="2">
        <v>4</v>
      </c>
      <c r="Q314">
        <v>4</v>
      </c>
      <c r="R314">
        <v>4</v>
      </c>
      <c r="S314">
        <v>4</v>
      </c>
      <c r="T314">
        <v>4</v>
      </c>
      <c r="U314">
        <v>4</v>
      </c>
    </row>
    <row r="315" spans="1:21" x14ac:dyDescent="0.35">
      <c r="A315" s="2">
        <v>5</v>
      </c>
      <c r="B315">
        <v>3</v>
      </c>
      <c r="C315">
        <v>10</v>
      </c>
      <c r="D315">
        <v>13</v>
      </c>
      <c r="E315">
        <v>13</v>
      </c>
      <c r="F315">
        <v>20</v>
      </c>
      <c r="I315" s="2">
        <v>5</v>
      </c>
      <c r="J315" s="4">
        <v>3.7499999999999999E-2</v>
      </c>
      <c r="K315" s="4">
        <v>0.10526315789473684</v>
      </c>
      <c r="L315" s="4">
        <v>0.13978494623655913</v>
      </c>
      <c r="M315" s="4">
        <v>0.13402061855670103</v>
      </c>
      <c r="N315" s="4">
        <v>0.22988505747126436</v>
      </c>
      <c r="O315" s="4"/>
      <c r="P315" s="2" t="s">
        <v>1</v>
      </c>
      <c r="Q315">
        <v>3.220779220779221</v>
      </c>
      <c r="R315">
        <v>3.7411764705882353</v>
      </c>
      <c r="S315">
        <v>3.625</v>
      </c>
      <c r="T315">
        <v>3.6190476190476191</v>
      </c>
      <c r="U315">
        <v>3.5820895522388061</v>
      </c>
    </row>
    <row r="316" spans="1:21" x14ac:dyDescent="0.35">
      <c r="A316" s="2" t="s">
        <v>77</v>
      </c>
      <c r="I316" s="2" t="s">
        <v>77</v>
      </c>
      <c r="J316" s="6">
        <v>0</v>
      </c>
      <c r="K316" s="6">
        <v>0</v>
      </c>
      <c r="L316" s="6">
        <v>0</v>
      </c>
      <c r="M316" s="6">
        <v>0</v>
      </c>
      <c r="N316" s="6">
        <v>0</v>
      </c>
      <c r="O316" s="6"/>
    </row>
    <row r="317" spans="1:21" x14ac:dyDescent="0.35">
      <c r="A317" s="2" t="s">
        <v>1</v>
      </c>
      <c r="B317">
        <v>80</v>
      </c>
      <c r="C317">
        <v>95</v>
      </c>
      <c r="D317">
        <v>93</v>
      </c>
      <c r="E317">
        <v>97</v>
      </c>
      <c r="F317">
        <v>87</v>
      </c>
      <c r="I317" s="2" t="s">
        <v>1</v>
      </c>
      <c r="J317" s="4">
        <v>1</v>
      </c>
      <c r="K317" s="4">
        <v>1</v>
      </c>
      <c r="L317" s="4">
        <v>1</v>
      </c>
      <c r="M317" s="4">
        <v>1</v>
      </c>
      <c r="N317" s="6">
        <v>1</v>
      </c>
      <c r="O317" s="6"/>
      <c r="Q317" s="3"/>
    </row>
    <row r="318" spans="1:21" x14ac:dyDescent="0.35">
      <c r="A318" s="2"/>
      <c r="I318" s="2"/>
      <c r="J318" s="6"/>
      <c r="K318" s="6"/>
      <c r="L318" s="6"/>
      <c r="M318" s="6"/>
      <c r="N318" s="6"/>
      <c r="O318" s="6"/>
      <c r="Q318" s="3"/>
    </row>
    <row r="319" spans="1:21" x14ac:dyDescent="0.35">
      <c r="Q319" s="3"/>
    </row>
    <row r="320" spans="1:21" x14ac:dyDescent="0.35">
      <c r="A320" s="1" t="s">
        <v>114</v>
      </c>
      <c r="B320" s="1" t="s">
        <v>23</v>
      </c>
      <c r="I320" s="1" t="s">
        <v>114</v>
      </c>
      <c r="J320" s="1" t="s">
        <v>23</v>
      </c>
      <c r="P320" s="1" t="s">
        <v>115</v>
      </c>
      <c r="Q320" s="1" t="s">
        <v>23</v>
      </c>
    </row>
    <row r="321" spans="1:21" x14ac:dyDescent="0.35">
      <c r="A321" s="1" t="s">
        <v>17</v>
      </c>
      <c r="B321">
        <v>2019</v>
      </c>
      <c r="C321">
        <v>2020</v>
      </c>
      <c r="D321">
        <v>2021</v>
      </c>
      <c r="E321">
        <v>2022</v>
      </c>
      <c r="F321">
        <v>2023</v>
      </c>
      <c r="I321" s="1" t="s">
        <v>17</v>
      </c>
      <c r="J321">
        <v>2019</v>
      </c>
      <c r="K321">
        <v>2020</v>
      </c>
      <c r="L321">
        <v>2021</v>
      </c>
      <c r="M321">
        <v>2022</v>
      </c>
      <c r="N321">
        <v>2023</v>
      </c>
      <c r="P321" s="1" t="s">
        <v>17</v>
      </c>
      <c r="Q321">
        <v>2019</v>
      </c>
      <c r="R321">
        <v>2020</v>
      </c>
      <c r="S321">
        <v>2021</v>
      </c>
      <c r="T321">
        <v>2022</v>
      </c>
      <c r="U321">
        <v>2023</v>
      </c>
    </row>
    <row r="322" spans="1:21" x14ac:dyDescent="0.35">
      <c r="A322" s="2">
        <v>2</v>
      </c>
      <c r="B322">
        <v>2</v>
      </c>
      <c r="C322">
        <v>13</v>
      </c>
      <c r="D322">
        <v>15</v>
      </c>
      <c r="E322">
        <v>21</v>
      </c>
      <c r="F322">
        <v>16</v>
      </c>
      <c r="I322" s="2">
        <v>2</v>
      </c>
      <c r="J322" s="4">
        <v>2.7027027027027029E-2</v>
      </c>
      <c r="K322" s="4">
        <v>0.14285714285714285</v>
      </c>
      <c r="L322" s="4">
        <v>0.15463917525773196</v>
      </c>
      <c r="M322" s="4">
        <v>0.21649484536082475</v>
      </c>
      <c r="N322" s="4">
        <v>0.18604651162790697</v>
      </c>
      <c r="P322" s="2">
        <v>2</v>
      </c>
      <c r="Q322">
        <v>2</v>
      </c>
      <c r="R322">
        <v>2</v>
      </c>
      <c r="S322">
        <v>2</v>
      </c>
      <c r="T322">
        <v>2</v>
      </c>
      <c r="U322">
        <v>2</v>
      </c>
    </row>
    <row r="323" spans="1:21" x14ac:dyDescent="0.35">
      <c r="A323" s="2">
        <v>3</v>
      </c>
      <c r="B323">
        <v>15</v>
      </c>
      <c r="C323">
        <v>38</v>
      </c>
      <c r="D323">
        <v>38</v>
      </c>
      <c r="E323">
        <v>31</v>
      </c>
      <c r="F323">
        <v>28</v>
      </c>
      <c r="I323" s="2">
        <v>3</v>
      </c>
      <c r="J323" s="4">
        <v>0.20270270270270271</v>
      </c>
      <c r="K323" s="4">
        <v>0.4175824175824176</v>
      </c>
      <c r="L323" s="4">
        <v>0.39175257731958762</v>
      </c>
      <c r="M323" s="4">
        <v>0.31958762886597936</v>
      </c>
      <c r="N323" s="4">
        <v>0.32558139534883723</v>
      </c>
      <c r="O323" s="4"/>
      <c r="P323" s="2">
        <v>3</v>
      </c>
      <c r="Q323">
        <v>3</v>
      </c>
      <c r="R323">
        <v>3</v>
      </c>
      <c r="S323">
        <v>3</v>
      </c>
      <c r="T323">
        <v>3</v>
      </c>
      <c r="U323">
        <v>3</v>
      </c>
    </row>
    <row r="324" spans="1:21" x14ac:dyDescent="0.35">
      <c r="A324" s="2">
        <v>4</v>
      </c>
      <c r="B324">
        <v>51</v>
      </c>
      <c r="C324">
        <v>22</v>
      </c>
      <c r="D324">
        <v>26</v>
      </c>
      <c r="E324">
        <v>30</v>
      </c>
      <c r="F324">
        <v>32</v>
      </c>
      <c r="I324" s="2">
        <v>4</v>
      </c>
      <c r="J324" s="4">
        <v>0.68918918918918914</v>
      </c>
      <c r="K324" s="4">
        <v>0.24175824175824176</v>
      </c>
      <c r="L324" s="4">
        <v>0.26804123711340205</v>
      </c>
      <c r="M324" s="4">
        <v>0.30927835051546393</v>
      </c>
      <c r="N324" s="4">
        <v>0.37209302325581395</v>
      </c>
      <c r="O324" s="4"/>
      <c r="P324" s="2">
        <v>4</v>
      </c>
      <c r="Q324">
        <v>4</v>
      </c>
      <c r="R324">
        <v>4</v>
      </c>
      <c r="S324">
        <v>4</v>
      </c>
      <c r="T324">
        <v>4</v>
      </c>
      <c r="U324">
        <v>4</v>
      </c>
    </row>
    <row r="325" spans="1:21" x14ac:dyDescent="0.35">
      <c r="A325" s="2">
        <v>5</v>
      </c>
      <c r="B325">
        <v>6</v>
      </c>
      <c r="C325">
        <v>3</v>
      </c>
      <c r="D325">
        <v>5</v>
      </c>
      <c r="E325">
        <v>3</v>
      </c>
      <c r="F325">
        <v>5</v>
      </c>
      <c r="I325" s="2">
        <v>5</v>
      </c>
      <c r="J325" s="4">
        <v>8.1081081081081086E-2</v>
      </c>
      <c r="K325" s="4">
        <v>3.2967032967032968E-2</v>
      </c>
      <c r="L325" s="4">
        <v>5.1546391752577317E-2</v>
      </c>
      <c r="M325" s="4">
        <v>3.0927835051546393E-2</v>
      </c>
      <c r="N325" s="4">
        <v>5.8139534883720929E-2</v>
      </c>
      <c r="O325" s="4"/>
      <c r="P325" s="2">
        <v>1</v>
      </c>
      <c r="R325">
        <v>1</v>
      </c>
      <c r="S325">
        <v>1</v>
      </c>
      <c r="T325">
        <v>1</v>
      </c>
      <c r="U325">
        <v>1</v>
      </c>
    </row>
    <row r="326" spans="1:21" x14ac:dyDescent="0.35">
      <c r="A326" s="2" t="s">
        <v>77</v>
      </c>
      <c r="I326" s="2" t="s">
        <v>77</v>
      </c>
      <c r="J326" s="4">
        <v>0</v>
      </c>
      <c r="K326" s="4">
        <v>0</v>
      </c>
      <c r="L326" s="4">
        <v>0</v>
      </c>
      <c r="M326" s="4">
        <v>0</v>
      </c>
      <c r="N326" s="4">
        <v>0</v>
      </c>
      <c r="O326" s="4"/>
      <c r="P326" s="2" t="s">
        <v>1</v>
      </c>
      <c r="Q326">
        <v>3.7205882352941178</v>
      </c>
      <c r="R326">
        <v>2.7613636363636362</v>
      </c>
      <c r="S326">
        <v>2.8369565217391304</v>
      </c>
      <c r="T326">
        <v>2.8404255319148937</v>
      </c>
      <c r="U326">
        <v>3.074074074074074</v>
      </c>
    </row>
    <row r="327" spans="1:21" x14ac:dyDescent="0.35">
      <c r="A327" s="2">
        <v>1</v>
      </c>
      <c r="C327">
        <v>15</v>
      </c>
      <c r="D327">
        <v>13</v>
      </c>
      <c r="E327">
        <v>12</v>
      </c>
      <c r="F327">
        <v>5</v>
      </c>
      <c r="I327" s="2">
        <v>1</v>
      </c>
      <c r="J327" s="4">
        <v>0</v>
      </c>
      <c r="K327" s="4">
        <v>0.16483516483516483</v>
      </c>
      <c r="L327" s="4">
        <v>0.13402061855670103</v>
      </c>
      <c r="M327" s="4">
        <v>0.12371134020618557</v>
      </c>
      <c r="N327" s="4">
        <v>5.8139534883720929E-2</v>
      </c>
      <c r="O327" s="4"/>
    </row>
    <row r="328" spans="1:21" x14ac:dyDescent="0.35">
      <c r="A328" s="2" t="s">
        <v>1</v>
      </c>
      <c r="B328">
        <v>74</v>
      </c>
      <c r="C328">
        <v>91</v>
      </c>
      <c r="D328">
        <v>97</v>
      </c>
      <c r="E328">
        <v>97</v>
      </c>
      <c r="F328">
        <v>86</v>
      </c>
      <c r="I328" s="2" t="s">
        <v>1</v>
      </c>
      <c r="J328" s="4">
        <v>1</v>
      </c>
      <c r="K328" s="4">
        <v>1</v>
      </c>
      <c r="L328" s="4">
        <v>1</v>
      </c>
      <c r="M328" s="4">
        <v>1</v>
      </c>
      <c r="N328" s="6">
        <v>1</v>
      </c>
      <c r="O328" s="4"/>
    </row>
    <row r="329" spans="1:21" x14ac:dyDescent="0.35">
      <c r="O329" s="6"/>
      <c r="Q329" s="3"/>
    </row>
    <row r="330" spans="1:21" x14ac:dyDescent="0.35">
      <c r="I330" s="2"/>
      <c r="J330" s="6"/>
      <c r="K330" s="6"/>
      <c r="L330" s="6"/>
      <c r="M330" s="6"/>
      <c r="N330" s="6"/>
      <c r="O330" s="6"/>
      <c r="Q330" s="3"/>
    </row>
    <row r="332" spans="1:21" x14ac:dyDescent="0.35">
      <c r="A332" s="1" t="s">
        <v>116</v>
      </c>
      <c r="B332" s="1" t="s">
        <v>23</v>
      </c>
      <c r="I332" s="1" t="s">
        <v>116</v>
      </c>
      <c r="J332" s="1" t="s">
        <v>23</v>
      </c>
      <c r="P332" s="1" t="s">
        <v>117</v>
      </c>
      <c r="Q332" s="1" t="s">
        <v>23</v>
      </c>
    </row>
    <row r="333" spans="1:21" x14ac:dyDescent="0.35">
      <c r="A333" s="1" t="s">
        <v>17</v>
      </c>
      <c r="B333">
        <v>2019</v>
      </c>
      <c r="C333">
        <v>2020</v>
      </c>
      <c r="D333">
        <v>2021</v>
      </c>
      <c r="E333">
        <v>2022</v>
      </c>
      <c r="F333">
        <v>2023</v>
      </c>
      <c r="I333" s="1" t="s">
        <v>17</v>
      </c>
      <c r="J333">
        <v>2019</v>
      </c>
      <c r="K333">
        <v>2020</v>
      </c>
      <c r="L333">
        <v>2021</v>
      </c>
      <c r="M333">
        <v>2022</v>
      </c>
      <c r="N333">
        <v>2023</v>
      </c>
      <c r="P333" s="1" t="s">
        <v>17</v>
      </c>
      <c r="Q333">
        <v>2019</v>
      </c>
      <c r="R333">
        <v>2020</v>
      </c>
      <c r="S333">
        <v>2021</v>
      </c>
      <c r="T333">
        <v>2022</v>
      </c>
      <c r="U333">
        <v>2023</v>
      </c>
    </row>
    <row r="334" spans="1:21" x14ac:dyDescent="0.35">
      <c r="A334" s="2">
        <v>1</v>
      </c>
      <c r="B334">
        <v>3</v>
      </c>
      <c r="C334">
        <v>6</v>
      </c>
      <c r="D334">
        <v>4</v>
      </c>
      <c r="E334">
        <v>7</v>
      </c>
      <c r="F334">
        <v>3</v>
      </c>
      <c r="I334" s="2">
        <v>1</v>
      </c>
      <c r="J334" s="4">
        <v>4.0540540540540543E-2</v>
      </c>
      <c r="K334" s="4">
        <v>6.25E-2</v>
      </c>
      <c r="L334" s="4">
        <v>4.2553191489361701E-2</v>
      </c>
      <c r="M334" s="4">
        <v>7.0707070707070704E-2</v>
      </c>
      <c r="N334" s="4">
        <v>3.3707865168539325E-2</v>
      </c>
      <c r="P334" s="2">
        <v>1</v>
      </c>
      <c r="Q334">
        <v>1</v>
      </c>
      <c r="R334">
        <v>1</v>
      </c>
      <c r="S334">
        <v>1</v>
      </c>
      <c r="T334">
        <v>1</v>
      </c>
      <c r="U334">
        <v>1</v>
      </c>
    </row>
    <row r="335" spans="1:21" x14ac:dyDescent="0.35">
      <c r="A335" s="2">
        <v>2</v>
      </c>
      <c r="B335">
        <v>2</v>
      </c>
      <c r="C335">
        <v>2</v>
      </c>
      <c r="D335">
        <v>3</v>
      </c>
      <c r="E335">
        <v>3</v>
      </c>
      <c r="F335">
        <v>7</v>
      </c>
      <c r="I335" s="2">
        <v>2</v>
      </c>
      <c r="J335" s="4">
        <v>2.7027027027027029E-2</v>
      </c>
      <c r="K335" s="4">
        <v>2.0833333333333332E-2</v>
      </c>
      <c r="L335" s="4">
        <v>3.1914893617021274E-2</v>
      </c>
      <c r="M335" s="4">
        <v>3.0303030303030304E-2</v>
      </c>
      <c r="N335" s="4">
        <v>7.8651685393258425E-2</v>
      </c>
      <c r="P335" s="2">
        <v>2</v>
      </c>
      <c r="Q335">
        <v>2</v>
      </c>
      <c r="R335">
        <v>2</v>
      </c>
      <c r="S335">
        <v>2</v>
      </c>
      <c r="T335">
        <v>2</v>
      </c>
      <c r="U335">
        <v>2</v>
      </c>
    </row>
    <row r="336" spans="1:21" x14ac:dyDescent="0.35">
      <c r="A336" s="2">
        <v>3</v>
      </c>
      <c r="B336">
        <v>19</v>
      </c>
      <c r="C336">
        <v>29</v>
      </c>
      <c r="D336">
        <v>29</v>
      </c>
      <c r="E336">
        <v>27</v>
      </c>
      <c r="F336">
        <v>24</v>
      </c>
      <c r="I336" s="2">
        <v>3</v>
      </c>
      <c r="J336" s="4">
        <v>0.25675675675675674</v>
      </c>
      <c r="K336" s="4">
        <v>0.30208333333333331</v>
      </c>
      <c r="L336" s="4">
        <v>0.30851063829787234</v>
      </c>
      <c r="M336" s="4">
        <v>0.27272727272727271</v>
      </c>
      <c r="N336" s="4">
        <v>0.2696629213483146</v>
      </c>
      <c r="P336" s="2">
        <v>3</v>
      </c>
      <c r="Q336">
        <v>3</v>
      </c>
      <c r="R336">
        <v>3</v>
      </c>
      <c r="S336">
        <v>3</v>
      </c>
      <c r="T336">
        <v>3</v>
      </c>
      <c r="U336">
        <v>3</v>
      </c>
    </row>
    <row r="337" spans="1:21" x14ac:dyDescent="0.35">
      <c r="A337" s="2">
        <v>4</v>
      </c>
      <c r="B337">
        <v>43</v>
      </c>
      <c r="C337">
        <v>44</v>
      </c>
      <c r="D337">
        <v>33</v>
      </c>
      <c r="E337">
        <v>40</v>
      </c>
      <c r="F337">
        <v>38</v>
      </c>
      <c r="I337" s="2">
        <v>4</v>
      </c>
      <c r="J337" s="4">
        <v>0.58108108108108103</v>
      </c>
      <c r="K337" s="4">
        <v>0.45833333333333331</v>
      </c>
      <c r="L337" s="4">
        <v>0.35106382978723405</v>
      </c>
      <c r="M337" s="4">
        <v>0.40404040404040403</v>
      </c>
      <c r="N337" s="4">
        <v>0.42696629213483145</v>
      </c>
      <c r="P337" s="2">
        <v>4</v>
      </c>
      <c r="Q337">
        <v>4</v>
      </c>
      <c r="R337">
        <v>4</v>
      </c>
      <c r="S337">
        <v>4</v>
      </c>
      <c r="T337">
        <v>4</v>
      </c>
      <c r="U337">
        <v>4</v>
      </c>
    </row>
    <row r="338" spans="1:21" x14ac:dyDescent="0.35">
      <c r="A338" s="2">
        <v>5</v>
      </c>
      <c r="B338">
        <v>7</v>
      </c>
      <c r="C338">
        <v>15</v>
      </c>
      <c r="D338">
        <v>25</v>
      </c>
      <c r="E338">
        <v>22</v>
      </c>
      <c r="F338">
        <v>17</v>
      </c>
      <c r="I338" s="2">
        <v>5</v>
      </c>
      <c r="J338" s="4">
        <v>9.45945945945946E-2</v>
      </c>
      <c r="K338" s="4">
        <v>0.15625</v>
      </c>
      <c r="L338" s="4">
        <v>0.26595744680851063</v>
      </c>
      <c r="M338" s="4">
        <v>0.22222222222222221</v>
      </c>
      <c r="N338" s="4">
        <v>0.19101123595505617</v>
      </c>
      <c r="P338" s="2" t="s">
        <v>1</v>
      </c>
      <c r="Q338" s="13">
        <v>3.5223880597014925</v>
      </c>
      <c r="R338" s="13">
        <v>3.3703703703703702</v>
      </c>
      <c r="S338" s="13">
        <v>3.318840579710145</v>
      </c>
      <c r="T338" s="13">
        <v>3.2987012987012987</v>
      </c>
      <c r="U338" s="13">
        <v>3.3472222222222223</v>
      </c>
    </row>
    <row r="339" spans="1:21" x14ac:dyDescent="0.35">
      <c r="A339" s="2" t="s">
        <v>77</v>
      </c>
      <c r="I339" s="2" t="s">
        <v>1</v>
      </c>
      <c r="J339" s="4">
        <v>1</v>
      </c>
      <c r="K339" s="4">
        <v>1</v>
      </c>
      <c r="L339" s="4">
        <v>1</v>
      </c>
      <c r="M339" s="4">
        <v>1</v>
      </c>
      <c r="N339" s="4">
        <v>1</v>
      </c>
    </row>
    <row r="340" spans="1:21" x14ac:dyDescent="0.35">
      <c r="A340" s="2" t="s">
        <v>1</v>
      </c>
      <c r="B340">
        <v>74</v>
      </c>
      <c r="C340">
        <v>96</v>
      </c>
      <c r="D340">
        <v>94</v>
      </c>
      <c r="E340">
        <v>99</v>
      </c>
      <c r="F340">
        <v>89</v>
      </c>
      <c r="P340" s="85"/>
    </row>
    <row r="344" spans="1:21" x14ac:dyDescent="0.35">
      <c r="A344" s="1" t="s">
        <v>160</v>
      </c>
      <c r="B344" s="1" t="s">
        <v>23</v>
      </c>
      <c r="I344" s="1" t="s">
        <v>160</v>
      </c>
      <c r="J344" s="1" t="s">
        <v>23</v>
      </c>
      <c r="P344" s="1" t="s">
        <v>161</v>
      </c>
      <c r="Q344" s="1" t="s">
        <v>23</v>
      </c>
    </row>
    <row r="345" spans="1:21" x14ac:dyDescent="0.35">
      <c r="A345" s="1" t="s">
        <v>17</v>
      </c>
      <c r="B345">
        <v>2022</v>
      </c>
      <c r="C345">
        <v>2023</v>
      </c>
      <c r="I345" s="1" t="s">
        <v>17</v>
      </c>
      <c r="J345">
        <v>2022</v>
      </c>
      <c r="K345">
        <v>2023</v>
      </c>
      <c r="P345" s="1" t="s">
        <v>17</v>
      </c>
      <c r="Q345">
        <v>2022</v>
      </c>
      <c r="R345">
        <v>2023</v>
      </c>
    </row>
    <row r="346" spans="1:21" x14ac:dyDescent="0.35">
      <c r="A346" s="2">
        <v>1</v>
      </c>
      <c r="B346">
        <v>24</v>
      </c>
      <c r="C346">
        <v>23</v>
      </c>
      <c r="I346" s="2">
        <v>1</v>
      </c>
      <c r="J346" s="4">
        <v>0.25531914893617019</v>
      </c>
      <c r="K346" s="4">
        <v>0.27710843373493976</v>
      </c>
      <c r="P346" s="2">
        <v>1</v>
      </c>
      <c r="Q346">
        <v>1</v>
      </c>
      <c r="R346">
        <v>1</v>
      </c>
    </row>
    <row r="347" spans="1:21" x14ac:dyDescent="0.35">
      <c r="A347" s="2">
        <v>2</v>
      </c>
      <c r="B347">
        <v>28</v>
      </c>
      <c r="C347">
        <v>21</v>
      </c>
      <c r="I347" s="2">
        <v>2</v>
      </c>
      <c r="J347" s="4">
        <v>0.2978723404255319</v>
      </c>
      <c r="K347" s="4">
        <v>0.25301204819277107</v>
      </c>
      <c r="P347" s="2">
        <v>2</v>
      </c>
      <c r="Q347">
        <v>2</v>
      </c>
      <c r="R347">
        <v>2</v>
      </c>
    </row>
    <row r="348" spans="1:21" x14ac:dyDescent="0.35">
      <c r="A348" s="2">
        <v>3</v>
      </c>
      <c r="B348">
        <v>42</v>
      </c>
      <c r="C348">
        <v>39</v>
      </c>
      <c r="I348" s="2">
        <v>3</v>
      </c>
      <c r="J348" s="4">
        <v>0.44680851063829785</v>
      </c>
      <c r="K348" s="4">
        <v>0.46987951807228917</v>
      </c>
      <c r="P348" s="2">
        <v>3</v>
      </c>
      <c r="Q348">
        <v>3</v>
      </c>
      <c r="R348">
        <v>3</v>
      </c>
    </row>
    <row r="349" spans="1:21" x14ac:dyDescent="0.35">
      <c r="A349" s="2" t="s">
        <v>77</v>
      </c>
      <c r="I349" s="2" t="s">
        <v>77</v>
      </c>
      <c r="J349" s="4">
        <v>0</v>
      </c>
      <c r="K349" s="4">
        <v>0</v>
      </c>
      <c r="P349" s="2" t="s">
        <v>77</v>
      </c>
    </row>
    <row r="350" spans="1:21" x14ac:dyDescent="0.35">
      <c r="A350" s="2" t="s">
        <v>1</v>
      </c>
      <c r="B350">
        <v>94</v>
      </c>
      <c r="C350">
        <v>83</v>
      </c>
      <c r="I350" s="2" t="s">
        <v>1</v>
      </c>
      <c r="J350" s="4">
        <v>1</v>
      </c>
      <c r="K350" s="4">
        <v>1</v>
      </c>
      <c r="P350" s="2" t="s">
        <v>1</v>
      </c>
      <c r="Q350" s="13">
        <v>2.1914893617021276</v>
      </c>
      <c r="R350" s="13">
        <v>2.1927710843373496</v>
      </c>
    </row>
    <row r="354" spans="1:18" x14ac:dyDescent="0.35">
      <c r="A354" s="1" t="s">
        <v>162</v>
      </c>
      <c r="B354" s="1" t="s">
        <v>23</v>
      </c>
      <c r="I354" s="1" t="s">
        <v>162</v>
      </c>
      <c r="J354" s="1" t="s">
        <v>23</v>
      </c>
      <c r="P354" s="1" t="s">
        <v>163</v>
      </c>
      <c r="Q354" s="1" t="s">
        <v>23</v>
      </c>
    </row>
    <row r="355" spans="1:18" x14ac:dyDescent="0.35">
      <c r="A355" s="1" t="s">
        <v>17</v>
      </c>
      <c r="B355">
        <v>2022</v>
      </c>
      <c r="C355">
        <v>2023</v>
      </c>
      <c r="I355" s="1" t="s">
        <v>17</v>
      </c>
      <c r="J355">
        <v>2022</v>
      </c>
      <c r="K355">
        <v>2023</v>
      </c>
      <c r="P355" s="1" t="s">
        <v>17</v>
      </c>
      <c r="Q355">
        <v>2022</v>
      </c>
      <c r="R355">
        <v>2023</v>
      </c>
    </row>
    <row r="356" spans="1:18" x14ac:dyDescent="0.35">
      <c r="A356" s="2">
        <v>1</v>
      </c>
      <c r="B356">
        <v>53</v>
      </c>
      <c r="C356">
        <v>49</v>
      </c>
      <c r="I356" s="2">
        <v>1</v>
      </c>
      <c r="J356" s="4">
        <v>0.54081632653061229</v>
      </c>
      <c r="K356" s="4">
        <v>0.56976744186046513</v>
      </c>
      <c r="P356" s="2">
        <v>1</v>
      </c>
      <c r="Q356">
        <v>1</v>
      </c>
      <c r="R356">
        <v>1</v>
      </c>
    </row>
    <row r="357" spans="1:18" x14ac:dyDescent="0.35">
      <c r="A357" s="2">
        <v>2</v>
      </c>
      <c r="B357">
        <v>45</v>
      </c>
      <c r="C357">
        <v>37</v>
      </c>
      <c r="I357" s="2">
        <v>2</v>
      </c>
      <c r="J357" s="4">
        <v>0.45918367346938777</v>
      </c>
      <c r="K357" s="4">
        <v>0.43023255813953487</v>
      </c>
      <c r="P357" s="2">
        <v>2</v>
      </c>
      <c r="Q357">
        <v>2</v>
      </c>
      <c r="R357">
        <v>2</v>
      </c>
    </row>
    <row r="358" spans="1:18" x14ac:dyDescent="0.35">
      <c r="A358" s="2" t="s">
        <v>77</v>
      </c>
      <c r="I358" s="2" t="s">
        <v>77</v>
      </c>
      <c r="J358" s="4">
        <v>0</v>
      </c>
      <c r="K358" s="4">
        <v>0</v>
      </c>
      <c r="P358" s="2" t="s">
        <v>77</v>
      </c>
    </row>
    <row r="359" spans="1:18" x14ac:dyDescent="0.35">
      <c r="A359" s="2" t="s">
        <v>1</v>
      </c>
      <c r="B359">
        <v>98</v>
      </c>
      <c r="C359">
        <v>86</v>
      </c>
      <c r="I359" s="2" t="s">
        <v>1</v>
      </c>
      <c r="J359" s="4">
        <v>1</v>
      </c>
      <c r="K359" s="4">
        <v>1</v>
      </c>
      <c r="P359" s="2" t="s">
        <v>1</v>
      </c>
      <c r="Q359" s="13">
        <v>1.4591836734693877</v>
      </c>
      <c r="R359" s="13">
        <v>1.430232558139535</v>
      </c>
    </row>
    <row r="363" spans="1:18" x14ac:dyDescent="0.35">
      <c r="A363" s="1" t="s">
        <v>164</v>
      </c>
      <c r="B363" s="1" t="s">
        <v>23</v>
      </c>
      <c r="I363" s="1" t="s">
        <v>164</v>
      </c>
      <c r="J363" s="1" t="s">
        <v>23</v>
      </c>
      <c r="P363" s="1" t="s">
        <v>165</v>
      </c>
      <c r="Q363" s="1" t="s">
        <v>23</v>
      </c>
    </row>
    <row r="364" spans="1:18" x14ac:dyDescent="0.35">
      <c r="A364" s="1" t="s">
        <v>17</v>
      </c>
      <c r="B364">
        <v>2022</v>
      </c>
      <c r="C364">
        <v>2023</v>
      </c>
      <c r="I364" s="1" t="s">
        <v>17</v>
      </c>
      <c r="J364">
        <v>2022</v>
      </c>
      <c r="K364">
        <v>2023</v>
      </c>
      <c r="P364" s="1" t="s">
        <v>17</v>
      </c>
      <c r="Q364">
        <v>2022</v>
      </c>
      <c r="R364">
        <v>2023</v>
      </c>
    </row>
    <row r="365" spans="1:18" x14ac:dyDescent="0.35">
      <c r="A365" s="2">
        <v>1</v>
      </c>
      <c r="B365">
        <v>52</v>
      </c>
      <c r="C365">
        <v>51</v>
      </c>
      <c r="I365" s="2">
        <v>1</v>
      </c>
      <c r="J365" s="4">
        <v>0.53061224489795922</v>
      </c>
      <c r="K365" s="4">
        <v>0.6071428571428571</v>
      </c>
      <c r="P365" s="2">
        <v>1</v>
      </c>
      <c r="Q365">
        <v>1</v>
      </c>
      <c r="R365">
        <v>1</v>
      </c>
    </row>
    <row r="366" spans="1:18" x14ac:dyDescent="0.35">
      <c r="A366" s="2">
        <v>2</v>
      </c>
      <c r="B366">
        <v>30</v>
      </c>
      <c r="C366">
        <v>19</v>
      </c>
      <c r="I366" s="2">
        <v>2</v>
      </c>
      <c r="J366" s="4">
        <v>0.30612244897959184</v>
      </c>
      <c r="K366" s="4">
        <v>0.22619047619047619</v>
      </c>
      <c r="P366" s="2">
        <v>2</v>
      </c>
      <c r="Q366">
        <v>2</v>
      </c>
      <c r="R366">
        <v>2</v>
      </c>
    </row>
    <row r="367" spans="1:18" x14ac:dyDescent="0.35">
      <c r="A367" s="2">
        <v>3</v>
      </c>
      <c r="B367">
        <v>16</v>
      </c>
      <c r="C367">
        <v>14</v>
      </c>
      <c r="I367" s="2">
        <v>3</v>
      </c>
      <c r="J367" s="4">
        <v>0.16326530612244897</v>
      </c>
      <c r="K367" s="4">
        <v>0.16666666666666666</v>
      </c>
      <c r="P367" s="2">
        <v>3</v>
      </c>
      <c r="Q367">
        <v>3</v>
      </c>
      <c r="R367">
        <v>3</v>
      </c>
    </row>
    <row r="368" spans="1:18" x14ac:dyDescent="0.35">
      <c r="A368" s="2" t="s">
        <v>77</v>
      </c>
      <c r="I368" s="2" t="s">
        <v>77</v>
      </c>
      <c r="J368" s="4">
        <v>0</v>
      </c>
      <c r="K368" s="4">
        <v>0</v>
      </c>
      <c r="P368" s="2" t="s">
        <v>77</v>
      </c>
    </row>
    <row r="369" spans="1:18" x14ac:dyDescent="0.35">
      <c r="A369" s="2" t="s">
        <v>1</v>
      </c>
      <c r="B369">
        <v>98</v>
      </c>
      <c r="C369">
        <v>84</v>
      </c>
      <c r="I369" s="2" t="s">
        <v>1</v>
      </c>
      <c r="J369" s="4">
        <v>1</v>
      </c>
      <c r="K369" s="4">
        <v>1</v>
      </c>
      <c r="P369" s="2" t="s">
        <v>1</v>
      </c>
      <c r="Q369" s="13">
        <v>1.6326530612244898</v>
      </c>
      <c r="R369" s="13">
        <v>1.5595238095238095</v>
      </c>
    </row>
    <row r="372" spans="1:18" x14ac:dyDescent="0.35">
      <c r="A372" s="1" t="s">
        <v>166</v>
      </c>
      <c r="B372" s="1" t="s">
        <v>23</v>
      </c>
      <c r="I372" s="1" t="s">
        <v>166</v>
      </c>
      <c r="J372" s="1" t="s">
        <v>23</v>
      </c>
      <c r="P372" s="1" t="s">
        <v>167</v>
      </c>
      <c r="Q372" s="1" t="s">
        <v>23</v>
      </c>
    </row>
    <row r="373" spans="1:18" x14ac:dyDescent="0.35">
      <c r="A373" s="1" t="s">
        <v>17</v>
      </c>
      <c r="B373">
        <v>2022</v>
      </c>
      <c r="C373">
        <v>2023</v>
      </c>
      <c r="I373" s="1" t="s">
        <v>17</v>
      </c>
      <c r="J373">
        <v>2022</v>
      </c>
      <c r="K373">
        <v>2023</v>
      </c>
      <c r="P373" s="1" t="s">
        <v>17</v>
      </c>
      <c r="Q373">
        <v>2022</v>
      </c>
      <c r="R373">
        <v>2023</v>
      </c>
    </row>
    <row r="374" spans="1:18" x14ac:dyDescent="0.35">
      <c r="A374" s="2">
        <v>1</v>
      </c>
      <c r="B374">
        <v>30</v>
      </c>
      <c r="C374">
        <v>40</v>
      </c>
      <c r="I374" s="2">
        <v>1</v>
      </c>
      <c r="J374" s="4">
        <v>0.30927835051546393</v>
      </c>
      <c r="K374" s="4">
        <v>0.46511627906976744</v>
      </c>
      <c r="P374" s="2">
        <v>1</v>
      </c>
      <c r="Q374">
        <v>1</v>
      </c>
      <c r="R374">
        <v>1</v>
      </c>
    </row>
    <row r="375" spans="1:18" x14ac:dyDescent="0.35">
      <c r="A375" s="2">
        <v>2</v>
      </c>
      <c r="B375">
        <v>54</v>
      </c>
      <c r="C375">
        <v>32</v>
      </c>
      <c r="I375" s="2">
        <v>2</v>
      </c>
      <c r="J375" s="4">
        <v>0.55670103092783507</v>
      </c>
      <c r="K375" s="4">
        <v>0.37209302325581395</v>
      </c>
      <c r="P375" s="2">
        <v>2</v>
      </c>
      <c r="Q375">
        <v>2</v>
      </c>
      <c r="R375">
        <v>2</v>
      </c>
    </row>
    <row r="376" spans="1:18" x14ac:dyDescent="0.35">
      <c r="A376" s="2">
        <v>3</v>
      </c>
      <c r="B376">
        <v>13</v>
      </c>
      <c r="C376">
        <v>14</v>
      </c>
      <c r="I376" s="2">
        <v>3</v>
      </c>
      <c r="J376" s="4">
        <v>0.13402061855670103</v>
      </c>
      <c r="K376" s="4">
        <v>0.16279069767441862</v>
      </c>
      <c r="P376" s="2">
        <v>3</v>
      </c>
      <c r="Q376">
        <v>3</v>
      </c>
      <c r="R376">
        <v>3</v>
      </c>
    </row>
    <row r="377" spans="1:18" x14ac:dyDescent="0.35">
      <c r="A377" s="2" t="s">
        <v>77</v>
      </c>
      <c r="I377" s="2" t="s">
        <v>77</v>
      </c>
      <c r="J377" s="4">
        <v>0</v>
      </c>
      <c r="K377" s="4">
        <v>0</v>
      </c>
      <c r="P377" s="2" t="s">
        <v>77</v>
      </c>
    </row>
    <row r="378" spans="1:18" x14ac:dyDescent="0.35">
      <c r="A378" s="2" t="s">
        <v>1</v>
      </c>
      <c r="B378">
        <v>97</v>
      </c>
      <c r="C378">
        <v>86</v>
      </c>
      <c r="I378" s="2" t="s">
        <v>1</v>
      </c>
      <c r="J378" s="4">
        <v>1</v>
      </c>
      <c r="K378" s="4">
        <v>1</v>
      </c>
      <c r="P378" s="2" t="s">
        <v>1</v>
      </c>
      <c r="Q378" s="13">
        <v>1.8247422680412371</v>
      </c>
      <c r="R378" s="13">
        <v>1.6976744186046511</v>
      </c>
    </row>
  </sheetData>
  <pageMargins left="0.7" right="0.7" top="0.75" bottom="0.75" header="0.3" footer="0.3"/>
  <pageSetup paperSize="9" orientation="portrait" r:id="rId1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E0618-BD94-4044-B04C-1B2DFA46813F}">
  <sheetPr>
    <tabColor rgb="FFC00000"/>
  </sheetPr>
  <dimension ref="A1:W349"/>
  <sheetViews>
    <sheetView topLeftCell="A322" workbookViewId="0">
      <selection activeCell="B340" sqref="B340"/>
    </sheetView>
  </sheetViews>
  <sheetFormatPr defaultRowHeight="14.5" x14ac:dyDescent="0.35"/>
  <cols>
    <col min="1" max="1" width="21.1796875" style="83" customWidth="1"/>
    <col min="5" max="8" width="4.81640625" customWidth="1"/>
    <col min="13" max="13" width="8.26953125" customWidth="1"/>
    <col min="14" max="16" width="10.1796875" customWidth="1"/>
    <col min="17" max="17" width="27.7265625" customWidth="1"/>
  </cols>
  <sheetData>
    <row r="1" spans="1:18" x14ac:dyDescent="0.35">
      <c r="A1" s="112" t="s">
        <v>0</v>
      </c>
      <c r="B1" s="113">
        <v>2023</v>
      </c>
      <c r="Q1" s="112" t="s">
        <v>0</v>
      </c>
      <c r="R1" s="113">
        <v>2023</v>
      </c>
    </row>
    <row r="2" spans="1:18" x14ac:dyDescent="0.35">
      <c r="A2" s="112" t="s">
        <v>21</v>
      </c>
      <c r="B2" s="83" t="s">
        <v>42</v>
      </c>
      <c r="Q2" s="112" t="s">
        <v>21</v>
      </c>
      <c r="R2" s="83" t="s">
        <v>42</v>
      </c>
    </row>
    <row r="3" spans="1:18" x14ac:dyDescent="0.35">
      <c r="Q3" s="83"/>
    </row>
    <row r="4" spans="1:18" x14ac:dyDescent="0.35">
      <c r="A4" s="83" t="s">
        <v>22</v>
      </c>
    </row>
    <row r="5" spans="1:18" x14ac:dyDescent="0.35">
      <c r="A5" s="83">
        <v>89</v>
      </c>
    </row>
    <row r="16" spans="1:18" ht="29" x14ac:dyDescent="0.35">
      <c r="A16" s="83" t="s">
        <v>131</v>
      </c>
    </row>
    <row r="17" spans="1:23" x14ac:dyDescent="0.35">
      <c r="A17" s="112" t="s">
        <v>32</v>
      </c>
      <c r="B17" s="1" t="s">
        <v>130</v>
      </c>
      <c r="I17" s="1" t="s">
        <v>32</v>
      </c>
      <c r="J17" s="1" t="s">
        <v>130</v>
      </c>
      <c r="Q17" s="1" t="s">
        <v>10</v>
      </c>
      <c r="R17" s="1" t="s">
        <v>130</v>
      </c>
    </row>
    <row r="18" spans="1:23" x14ac:dyDescent="0.35">
      <c r="A18" s="112" t="s">
        <v>129</v>
      </c>
      <c r="B18">
        <v>2018</v>
      </c>
      <c r="C18">
        <v>2019</v>
      </c>
      <c r="D18">
        <v>2020</v>
      </c>
      <c r="E18">
        <v>2021</v>
      </c>
      <c r="F18">
        <v>2022</v>
      </c>
      <c r="G18">
        <v>2023</v>
      </c>
      <c r="I18" s="1" t="s">
        <v>129</v>
      </c>
      <c r="J18">
        <v>2018</v>
      </c>
      <c r="K18">
        <v>2019</v>
      </c>
      <c r="L18">
        <v>2020</v>
      </c>
      <c r="M18">
        <v>2021</v>
      </c>
      <c r="N18">
        <v>2022</v>
      </c>
      <c r="O18">
        <v>2023</v>
      </c>
      <c r="Q18" s="1" t="s">
        <v>129</v>
      </c>
      <c r="R18">
        <v>2018</v>
      </c>
      <c r="S18">
        <v>2019</v>
      </c>
      <c r="T18">
        <v>2020</v>
      </c>
      <c r="U18">
        <v>2021</v>
      </c>
      <c r="V18">
        <v>2022</v>
      </c>
      <c r="W18">
        <v>2023</v>
      </c>
    </row>
    <row r="19" spans="1:23" x14ac:dyDescent="0.35">
      <c r="A19" s="113">
        <v>3.33</v>
      </c>
      <c r="B19">
        <v>2</v>
      </c>
      <c r="C19">
        <v>2</v>
      </c>
      <c r="D19">
        <v>5</v>
      </c>
      <c r="E19">
        <v>1</v>
      </c>
      <c r="F19">
        <v>3</v>
      </c>
      <c r="G19">
        <v>2</v>
      </c>
      <c r="I19" s="2">
        <v>3.33</v>
      </c>
      <c r="J19" s="4">
        <v>2.1505376344086023E-2</v>
      </c>
      <c r="K19" s="4">
        <v>2.5316455696202531E-2</v>
      </c>
      <c r="L19" s="4">
        <v>5.1546391752577317E-2</v>
      </c>
      <c r="M19" s="4">
        <v>1.0869565217391304E-2</v>
      </c>
      <c r="N19" s="4">
        <v>3.1914893617021274E-2</v>
      </c>
      <c r="O19" s="4">
        <v>2.2988505747126436E-2</v>
      </c>
      <c r="P19" s="4"/>
      <c r="Q19" s="2">
        <v>3.33</v>
      </c>
      <c r="R19">
        <v>3.33</v>
      </c>
      <c r="S19">
        <v>3.33</v>
      </c>
      <c r="T19">
        <v>3.3299999999999996</v>
      </c>
      <c r="U19">
        <v>3.33</v>
      </c>
      <c r="V19">
        <v>3.33</v>
      </c>
      <c r="W19">
        <v>3.33</v>
      </c>
    </row>
    <row r="20" spans="1:23" x14ac:dyDescent="0.35">
      <c r="A20" s="113">
        <v>6.67</v>
      </c>
      <c r="B20">
        <v>23</v>
      </c>
      <c r="C20">
        <v>13</v>
      </c>
      <c r="D20">
        <v>16</v>
      </c>
      <c r="E20">
        <v>17</v>
      </c>
      <c r="F20">
        <v>11</v>
      </c>
      <c r="G20">
        <v>19</v>
      </c>
      <c r="I20" s="2">
        <v>6.67</v>
      </c>
      <c r="J20" s="4">
        <v>0.24731182795698925</v>
      </c>
      <c r="K20" s="4">
        <v>0.16455696202531644</v>
      </c>
      <c r="L20" s="4">
        <v>0.16494845360824742</v>
      </c>
      <c r="M20" s="4">
        <v>0.18478260869565216</v>
      </c>
      <c r="N20" s="4">
        <v>0.11702127659574468</v>
      </c>
      <c r="O20" s="4">
        <v>0.21839080459770116</v>
      </c>
      <c r="P20" s="4"/>
      <c r="Q20" s="2">
        <v>6.67</v>
      </c>
      <c r="R20">
        <v>6.669999999999999</v>
      </c>
      <c r="S20">
        <v>6.6700000000000008</v>
      </c>
      <c r="T20">
        <v>6.6700000000000008</v>
      </c>
      <c r="U20">
        <v>6.6700000000000008</v>
      </c>
      <c r="V20">
        <v>6.6700000000000008</v>
      </c>
      <c r="W20">
        <v>6.6700000000000008</v>
      </c>
    </row>
    <row r="21" spans="1:23" x14ac:dyDescent="0.35">
      <c r="A21" s="113">
        <v>10</v>
      </c>
      <c r="B21">
        <v>67</v>
      </c>
      <c r="C21">
        <v>64</v>
      </c>
      <c r="D21">
        <v>74</v>
      </c>
      <c r="E21">
        <v>69</v>
      </c>
      <c r="F21">
        <v>80</v>
      </c>
      <c r="G21">
        <v>64</v>
      </c>
      <c r="I21" s="2">
        <v>10</v>
      </c>
      <c r="J21" s="4">
        <v>0.72043010752688175</v>
      </c>
      <c r="K21" s="4">
        <v>0.810126582278481</v>
      </c>
      <c r="L21" s="4">
        <v>0.76288659793814428</v>
      </c>
      <c r="M21" s="4">
        <v>0.75</v>
      </c>
      <c r="N21" s="4">
        <v>0.85106382978723405</v>
      </c>
      <c r="O21" s="4">
        <v>0.73563218390804597</v>
      </c>
      <c r="P21" s="4"/>
      <c r="Q21" s="2">
        <v>10</v>
      </c>
      <c r="R21">
        <v>10</v>
      </c>
      <c r="S21">
        <v>10</v>
      </c>
      <c r="T21">
        <v>10</v>
      </c>
      <c r="U21">
        <v>10</v>
      </c>
      <c r="V21">
        <v>10</v>
      </c>
      <c r="W21">
        <v>10</v>
      </c>
    </row>
    <row r="22" spans="1:23" x14ac:dyDescent="0.35">
      <c r="A22" s="113" t="s">
        <v>128</v>
      </c>
      <c r="B22">
        <v>1</v>
      </c>
      <c r="D22">
        <v>2</v>
      </c>
      <c r="I22" s="2" t="s">
        <v>128</v>
      </c>
      <c r="J22" s="4">
        <v>1.0752688172043012E-2</v>
      </c>
      <c r="K22" s="4">
        <v>0</v>
      </c>
      <c r="L22" s="4">
        <v>2.0618556701030927E-2</v>
      </c>
      <c r="M22" s="4">
        <v>0</v>
      </c>
      <c r="N22" s="4">
        <v>0</v>
      </c>
      <c r="O22" s="4">
        <v>0</v>
      </c>
      <c r="P22" s="4"/>
      <c r="Q22" s="2" t="s">
        <v>128</v>
      </c>
      <c r="R22" t="e">
        <v>#DIV/0!</v>
      </c>
      <c r="T22" t="e">
        <v>#DIV/0!</v>
      </c>
    </row>
    <row r="23" spans="1:23" x14ac:dyDescent="0.35">
      <c r="A23" s="113" t="s">
        <v>77</v>
      </c>
      <c r="I23" s="2" t="s">
        <v>77</v>
      </c>
      <c r="J23" s="4">
        <v>0</v>
      </c>
      <c r="K23" s="4">
        <v>0</v>
      </c>
      <c r="L23" s="4">
        <v>0</v>
      </c>
      <c r="M23" s="4">
        <v>0</v>
      </c>
      <c r="N23" s="4">
        <v>0</v>
      </c>
      <c r="O23" s="4">
        <v>0</v>
      </c>
      <c r="P23" s="4"/>
      <c r="Q23" s="2" t="s">
        <v>77</v>
      </c>
    </row>
    <row r="24" spans="1:23" x14ac:dyDescent="0.35">
      <c r="A24" s="113" t="s">
        <v>17</v>
      </c>
      <c r="E24">
        <v>4</v>
      </c>
      <c r="I24" s="2" t="s">
        <v>17</v>
      </c>
      <c r="J24" s="4">
        <v>0</v>
      </c>
      <c r="K24" s="4">
        <v>0</v>
      </c>
      <c r="L24" s="4">
        <v>0</v>
      </c>
      <c r="M24" s="4">
        <v>4.3478260869565216E-2</v>
      </c>
      <c r="N24" s="4">
        <v>0</v>
      </c>
      <c r="O24" s="4">
        <v>0</v>
      </c>
      <c r="P24" s="4"/>
      <c r="Q24" s="2" t="s">
        <v>17</v>
      </c>
      <c r="U24" t="e">
        <v>#DIV/0!</v>
      </c>
    </row>
    <row r="25" spans="1:23" x14ac:dyDescent="0.35">
      <c r="A25" s="113">
        <v>0</v>
      </c>
      <c r="E25">
        <v>1</v>
      </c>
      <c r="G25">
        <v>2</v>
      </c>
      <c r="I25" s="2">
        <v>0</v>
      </c>
      <c r="J25" s="4">
        <v>0</v>
      </c>
      <c r="K25" s="4">
        <v>0</v>
      </c>
      <c r="L25" s="4">
        <v>0</v>
      </c>
      <c r="M25" s="4">
        <v>1.0869565217391304E-2</v>
      </c>
      <c r="N25" s="4">
        <v>0</v>
      </c>
      <c r="O25" s="4">
        <v>2.2988505747126436E-2</v>
      </c>
      <c r="P25" s="4"/>
      <c r="Q25" s="2">
        <v>0</v>
      </c>
      <c r="U25">
        <v>0</v>
      </c>
      <c r="W25">
        <v>0</v>
      </c>
    </row>
    <row r="26" spans="1:23" x14ac:dyDescent="0.35">
      <c r="A26" s="113" t="s">
        <v>1</v>
      </c>
      <c r="B26">
        <v>93</v>
      </c>
      <c r="C26">
        <v>79</v>
      </c>
      <c r="D26">
        <v>97</v>
      </c>
      <c r="E26">
        <v>92</v>
      </c>
      <c r="F26">
        <v>94</v>
      </c>
      <c r="G26">
        <v>87</v>
      </c>
      <c r="I26" s="2" t="s">
        <v>1</v>
      </c>
      <c r="J26" s="4">
        <v>1</v>
      </c>
      <c r="K26" s="4">
        <v>1</v>
      </c>
      <c r="L26" s="4">
        <v>1</v>
      </c>
      <c r="M26" s="4">
        <v>1</v>
      </c>
      <c r="N26" s="4">
        <v>1</v>
      </c>
      <c r="O26" s="4">
        <v>1</v>
      </c>
      <c r="P26" s="4"/>
      <c r="Q26" s="2" t="s">
        <v>1</v>
      </c>
      <c r="R26">
        <v>9.0224999999999991</v>
      </c>
      <c r="S26">
        <v>9.283164556962026</v>
      </c>
      <c r="T26">
        <v>9.0881052631578942</v>
      </c>
      <c r="U26">
        <v>9.1672727272727279</v>
      </c>
      <c r="V26">
        <v>9.3974468085106384</v>
      </c>
      <c r="W26">
        <v>8.889540229885057</v>
      </c>
    </row>
    <row r="27" spans="1:23" x14ac:dyDescent="0.35">
      <c r="A27" s="113"/>
      <c r="I27" s="2"/>
      <c r="J27" s="4"/>
      <c r="K27" s="4"/>
      <c r="L27" s="4"/>
      <c r="M27" s="4"/>
      <c r="N27" s="4"/>
      <c r="O27" s="4"/>
      <c r="P27" s="4"/>
      <c r="Q27" s="2"/>
    </row>
    <row r="28" spans="1:23" ht="29" x14ac:dyDescent="0.35">
      <c r="A28" s="113" t="s">
        <v>132</v>
      </c>
    </row>
    <row r="29" spans="1:23" x14ac:dyDescent="0.35">
      <c r="A29" s="112" t="s">
        <v>30</v>
      </c>
      <c r="B29" s="1" t="s">
        <v>130</v>
      </c>
      <c r="I29" s="1" t="s">
        <v>30</v>
      </c>
      <c r="J29" s="1" t="s">
        <v>130</v>
      </c>
      <c r="Q29" s="1" t="s">
        <v>31</v>
      </c>
      <c r="R29" s="1" t="s">
        <v>130</v>
      </c>
    </row>
    <row r="30" spans="1:23" x14ac:dyDescent="0.35">
      <c r="A30" s="112" t="s">
        <v>129</v>
      </c>
      <c r="B30">
        <v>2018</v>
      </c>
      <c r="C30">
        <v>2019</v>
      </c>
      <c r="D30">
        <v>2020</v>
      </c>
      <c r="E30">
        <v>2021</v>
      </c>
      <c r="F30">
        <v>2022</v>
      </c>
      <c r="G30">
        <v>2023</v>
      </c>
      <c r="I30" s="1" t="s">
        <v>129</v>
      </c>
      <c r="J30">
        <v>2018</v>
      </c>
      <c r="K30">
        <v>2019</v>
      </c>
      <c r="L30">
        <v>2020</v>
      </c>
      <c r="M30">
        <v>2021</v>
      </c>
      <c r="N30">
        <v>2022</v>
      </c>
      <c r="O30">
        <v>2023</v>
      </c>
      <c r="Q30" s="1" t="s">
        <v>129</v>
      </c>
      <c r="R30">
        <v>2018</v>
      </c>
      <c r="S30">
        <v>2019</v>
      </c>
      <c r="T30">
        <v>2020</v>
      </c>
      <c r="U30">
        <v>2021</v>
      </c>
      <c r="V30">
        <v>2022</v>
      </c>
      <c r="W30">
        <v>2023</v>
      </c>
    </row>
    <row r="31" spans="1:23" x14ac:dyDescent="0.35">
      <c r="A31" s="113">
        <v>0</v>
      </c>
      <c r="B31">
        <v>2</v>
      </c>
      <c r="C31">
        <v>2</v>
      </c>
      <c r="D31">
        <v>6</v>
      </c>
      <c r="E31">
        <v>5</v>
      </c>
      <c r="F31">
        <v>2</v>
      </c>
      <c r="G31">
        <v>3</v>
      </c>
      <c r="I31" s="2">
        <v>0</v>
      </c>
      <c r="J31" s="6">
        <v>2.0833333333333332E-2</v>
      </c>
      <c r="K31" s="6">
        <v>2.5974025974025976E-2</v>
      </c>
      <c r="L31" s="6">
        <v>6.1855670103092786E-2</v>
      </c>
      <c r="M31" s="6">
        <v>5.434782608695652E-2</v>
      </c>
      <c r="N31" s="6">
        <v>2.2727272727272728E-2</v>
      </c>
      <c r="O31" s="6">
        <v>4.0540540540540543E-2</v>
      </c>
      <c r="P31" s="6"/>
      <c r="Q31" s="2">
        <v>0</v>
      </c>
      <c r="R31">
        <v>0</v>
      </c>
      <c r="S31">
        <v>0</v>
      </c>
      <c r="T31">
        <v>0</v>
      </c>
      <c r="U31">
        <v>0</v>
      </c>
      <c r="V31">
        <v>0</v>
      </c>
      <c r="W31">
        <v>0</v>
      </c>
    </row>
    <row r="32" spans="1:23" x14ac:dyDescent="0.35">
      <c r="A32" s="113">
        <v>3.33</v>
      </c>
      <c r="B32">
        <v>5</v>
      </c>
      <c r="C32">
        <v>2</v>
      </c>
      <c r="D32">
        <v>6</v>
      </c>
      <c r="E32">
        <v>1</v>
      </c>
      <c r="G32">
        <v>2</v>
      </c>
      <c r="I32" s="2">
        <v>3.33</v>
      </c>
      <c r="J32" s="6">
        <v>5.2083333333333336E-2</v>
      </c>
      <c r="K32" s="6">
        <v>2.5974025974025976E-2</v>
      </c>
      <c r="L32" s="6">
        <v>6.1855670103092786E-2</v>
      </c>
      <c r="M32" s="6">
        <v>1.0869565217391304E-2</v>
      </c>
      <c r="N32" s="6">
        <v>0</v>
      </c>
      <c r="O32" s="6">
        <v>2.7027027027027029E-2</v>
      </c>
      <c r="P32" s="6"/>
      <c r="Q32" s="2">
        <v>3.33</v>
      </c>
      <c r="R32">
        <v>3.3299999999999996</v>
      </c>
      <c r="S32">
        <v>3.33</v>
      </c>
      <c r="T32">
        <v>3.3299999999999996</v>
      </c>
      <c r="U32">
        <v>3.33</v>
      </c>
      <c r="W32">
        <v>3.33</v>
      </c>
    </row>
    <row r="33" spans="1:23" x14ac:dyDescent="0.35">
      <c r="A33" s="113">
        <v>6.67</v>
      </c>
      <c r="B33">
        <v>30</v>
      </c>
      <c r="C33">
        <v>23</v>
      </c>
      <c r="D33">
        <v>28</v>
      </c>
      <c r="E33">
        <v>30</v>
      </c>
      <c r="F33">
        <v>35</v>
      </c>
      <c r="G33">
        <v>22</v>
      </c>
      <c r="I33" s="2">
        <v>6.67</v>
      </c>
      <c r="J33" s="6">
        <v>0.3125</v>
      </c>
      <c r="K33" s="6">
        <v>0.29870129870129869</v>
      </c>
      <c r="L33" s="6">
        <v>0.28865979381443296</v>
      </c>
      <c r="M33" s="6">
        <v>0.32608695652173914</v>
      </c>
      <c r="N33" s="6">
        <v>0.39772727272727271</v>
      </c>
      <c r="O33" s="6">
        <v>0.29729729729729731</v>
      </c>
      <c r="P33" s="6"/>
      <c r="Q33" s="2">
        <v>6.67</v>
      </c>
      <c r="R33">
        <v>6.6699999999999964</v>
      </c>
      <c r="S33">
        <v>6.669999999999999</v>
      </c>
      <c r="T33">
        <v>6.6699999999999964</v>
      </c>
      <c r="U33">
        <v>6.6699999999999964</v>
      </c>
      <c r="V33">
        <v>6.6699999999999946</v>
      </c>
      <c r="W33">
        <v>6.669999999999999</v>
      </c>
    </row>
    <row r="34" spans="1:23" x14ac:dyDescent="0.35">
      <c r="A34" s="113">
        <v>10</v>
      </c>
      <c r="B34">
        <v>49</v>
      </c>
      <c r="C34">
        <v>46</v>
      </c>
      <c r="D34">
        <v>44</v>
      </c>
      <c r="E34">
        <v>44</v>
      </c>
      <c r="F34">
        <v>51</v>
      </c>
      <c r="G34">
        <v>47</v>
      </c>
      <c r="I34" s="2">
        <v>10</v>
      </c>
      <c r="J34" s="6">
        <v>0.51041666666666663</v>
      </c>
      <c r="K34" s="6">
        <v>0.59740259740259738</v>
      </c>
      <c r="L34" s="6">
        <v>0.45360824742268041</v>
      </c>
      <c r="M34" s="6">
        <v>0.47826086956521741</v>
      </c>
      <c r="N34" s="6">
        <v>0.57954545454545459</v>
      </c>
      <c r="O34" s="6">
        <v>0.63513513513513509</v>
      </c>
      <c r="P34" s="6"/>
      <c r="Q34" s="2">
        <v>10</v>
      </c>
      <c r="R34">
        <v>10</v>
      </c>
      <c r="S34">
        <v>10</v>
      </c>
      <c r="T34">
        <v>10</v>
      </c>
      <c r="U34">
        <v>10</v>
      </c>
      <c r="V34">
        <v>10</v>
      </c>
      <c r="W34">
        <v>10</v>
      </c>
    </row>
    <row r="35" spans="1:23" x14ac:dyDescent="0.35">
      <c r="A35" s="113" t="s">
        <v>128</v>
      </c>
      <c r="B35">
        <v>10</v>
      </c>
      <c r="C35">
        <v>4</v>
      </c>
      <c r="D35">
        <v>13</v>
      </c>
      <c r="I35" s="2" t="s">
        <v>128</v>
      </c>
      <c r="J35" s="6">
        <v>0.10416666666666667</v>
      </c>
      <c r="K35" s="6">
        <v>5.1948051948051951E-2</v>
      </c>
      <c r="L35" s="6">
        <v>0.13402061855670103</v>
      </c>
      <c r="M35" s="6">
        <v>0</v>
      </c>
      <c r="N35" s="6">
        <v>0</v>
      </c>
      <c r="O35" s="6">
        <v>0</v>
      </c>
      <c r="P35" s="6"/>
      <c r="Q35" s="2" t="s">
        <v>128</v>
      </c>
      <c r="R35" t="e">
        <v>#DIV/0!</v>
      </c>
      <c r="S35" t="e">
        <v>#DIV/0!</v>
      </c>
      <c r="T35" t="e">
        <v>#DIV/0!</v>
      </c>
    </row>
    <row r="36" spans="1:23" x14ac:dyDescent="0.35">
      <c r="A36" s="113" t="s">
        <v>77</v>
      </c>
      <c r="I36" s="2" t="s">
        <v>77</v>
      </c>
      <c r="J36" s="6">
        <v>0</v>
      </c>
      <c r="K36" s="6">
        <v>0</v>
      </c>
      <c r="L36" s="6">
        <v>0</v>
      </c>
      <c r="M36" s="6">
        <v>0</v>
      </c>
      <c r="N36" s="6">
        <v>0</v>
      </c>
      <c r="O36" s="6">
        <v>0</v>
      </c>
      <c r="P36" s="6"/>
      <c r="Q36" s="2" t="s">
        <v>77</v>
      </c>
    </row>
    <row r="37" spans="1:23" x14ac:dyDescent="0.35">
      <c r="A37" s="113" t="s">
        <v>17</v>
      </c>
      <c r="E37">
        <v>12</v>
      </c>
      <c r="I37" s="2" t="s">
        <v>17</v>
      </c>
      <c r="J37" s="6">
        <v>0</v>
      </c>
      <c r="K37" s="6">
        <v>0</v>
      </c>
      <c r="L37" s="6">
        <v>0</v>
      </c>
      <c r="M37" s="6">
        <v>0.13043478260869565</v>
      </c>
      <c r="N37" s="6">
        <v>0</v>
      </c>
      <c r="O37" s="6">
        <v>0</v>
      </c>
      <c r="P37" s="6"/>
      <c r="Q37" s="2" t="s">
        <v>17</v>
      </c>
      <c r="U37" t="e">
        <v>#DIV/0!</v>
      </c>
    </row>
    <row r="38" spans="1:23" x14ac:dyDescent="0.35">
      <c r="A38" s="113" t="s">
        <v>1</v>
      </c>
      <c r="B38">
        <v>96</v>
      </c>
      <c r="C38">
        <v>77</v>
      </c>
      <c r="D38">
        <v>97</v>
      </c>
      <c r="E38">
        <v>92</v>
      </c>
      <c r="F38">
        <v>88</v>
      </c>
      <c r="G38">
        <v>74</v>
      </c>
      <c r="I38" s="2" t="s">
        <v>1</v>
      </c>
      <c r="J38" s="6">
        <v>1</v>
      </c>
      <c r="K38" s="6">
        <v>1</v>
      </c>
      <c r="L38" s="6">
        <v>1</v>
      </c>
      <c r="M38" s="6">
        <v>1</v>
      </c>
      <c r="N38" s="6">
        <v>1</v>
      </c>
      <c r="O38" s="6">
        <v>1</v>
      </c>
      <c r="P38" s="6"/>
      <c r="Q38" s="2" t="s">
        <v>1</v>
      </c>
      <c r="R38">
        <v>8.2180232558139519</v>
      </c>
      <c r="S38">
        <v>8.4941095890410949</v>
      </c>
      <c r="T38">
        <v>7.699285714285713</v>
      </c>
      <c r="U38">
        <v>8.0428749999999987</v>
      </c>
      <c r="V38">
        <v>8.4482954545454518</v>
      </c>
      <c r="W38">
        <v>8.4243243243243242</v>
      </c>
    </row>
    <row r="40" spans="1:23" x14ac:dyDescent="0.35">
      <c r="A40" s="113" t="s">
        <v>133</v>
      </c>
    </row>
    <row r="41" spans="1:23" x14ac:dyDescent="0.35">
      <c r="A41" s="112" t="s">
        <v>33</v>
      </c>
      <c r="B41" s="1" t="s">
        <v>130</v>
      </c>
      <c r="I41" s="1" t="s">
        <v>33</v>
      </c>
      <c r="J41" s="1" t="s">
        <v>130</v>
      </c>
      <c r="Q41" s="1" t="s">
        <v>40</v>
      </c>
      <c r="R41" s="1" t="s">
        <v>130</v>
      </c>
    </row>
    <row r="42" spans="1:23" x14ac:dyDescent="0.35">
      <c r="A42" s="112" t="s">
        <v>129</v>
      </c>
      <c r="B42">
        <v>2018</v>
      </c>
      <c r="C42">
        <v>2019</v>
      </c>
      <c r="D42">
        <v>2020</v>
      </c>
      <c r="E42">
        <v>2021</v>
      </c>
      <c r="F42">
        <v>2022</v>
      </c>
      <c r="G42">
        <v>2023</v>
      </c>
      <c r="I42" s="1" t="s">
        <v>129</v>
      </c>
      <c r="J42">
        <v>2018</v>
      </c>
      <c r="K42">
        <v>2019</v>
      </c>
      <c r="L42">
        <v>2020</v>
      </c>
      <c r="M42">
        <v>2021</v>
      </c>
      <c r="N42">
        <v>2022</v>
      </c>
      <c r="O42">
        <v>2023</v>
      </c>
      <c r="Q42" s="1" t="s">
        <v>129</v>
      </c>
      <c r="R42">
        <v>2018</v>
      </c>
      <c r="S42">
        <v>2019</v>
      </c>
      <c r="T42">
        <v>2020</v>
      </c>
      <c r="U42">
        <v>2021</v>
      </c>
      <c r="V42">
        <v>2022</v>
      </c>
      <c r="W42">
        <v>2023</v>
      </c>
    </row>
    <row r="43" spans="1:23" x14ac:dyDescent="0.35">
      <c r="A43" s="113">
        <v>0</v>
      </c>
      <c r="B43">
        <v>2</v>
      </c>
      <c r="C43">
        <v>6</v>
      </c>
      <c r="D43">
        <v>6</v>
      </c>
      <c r="E43">
        <v>10</v>
      </c>
      <c r="F43">
        <v>2</v>
      </c>
      <c r="G43">
        <v>7</v>
      </c>
      <c r="I43" s="2">
        <v>0</v>
      </c>
      <c r="J43">
        <v>2</v>
      </c>
      <c r="K43">
        <v>6</v>
      </c>
      <c r="L43">
        <v>6</v>
      </c>
      <c r="M43">
        <v>10</v>
      </c>
      <c r="N43">
        <v>2</v>
      </c>
      <c r="O43">
        <v>7</v>
      </c>
      <c r="Q43" s="2">
        <v>0</v>
      </c>
      <c r="R43">
        <v>0</v>
      </c>
      <c r="S43">
        <v>0</v>
      </c>
      <c r="T43">
        <v>0</v>
      </c>
      <c r="U43">
        <v>0</v>
      </c>
      <c r="V43">
        <v>0</v>
      </c>
      <c r="W43">
        <v>0</v>
      </c>
    </row>
    <row r="44" spans="1:23" x14ac:dyDescent="0.35">
      <c r="A44" s="113">
        <v>3.33</v>
      </c>
      <c r="B44">
        <v>9</v>
      </c>
      <c r="C44">
        <v>8</v>
      </c>
      <c r="D44">
        <v>2</v>
      </c>
      <c r="E44">
        <v>7</v>
      </c>
      <c r="G44">
        <v>7</v>
      </c>
      <c r="I44" s="2">
        <v>3.33</v>
      </c>
      <c r="J44">
        <v>9</v>
      </c>
      <c r="K44">
        <v>8</v>
      </c>
      <c r="L44">
        <v>2</v>
      </c>
      <c r="M44">
        <v>7</v>
      </c>
      <c r="O44">
        <v>7</v>
      </c>
      <c r="Q44" s="2">
        <v>3.33</v>
      </c>
      <c r="R44">
        <v>3.3299999999999992</v>
      </c>
      <c r="S44">
        <v>3.3299999999999992</v>
      </c>
      <c r="T44">
        <v>3.33</v>
      </c>
      <c r="U44">
        <v>3.3299999999999992</v>
      </c>
      <c r="W44">
        <v>3.3299999999999992</v>
      </c>
    </row>
    <row r="45" spans="1:23" x14ac:dyDescent="0.35">
      <c r="A45" s="113">
        <v>6.67</v>
      </c>
      <c r="B45">
        <v>7</v>
      </c>
      <c r="C45">
        <v>6</v>
      </c>
      <c r="D45">
        <v>2</v>
      </c>
      <c r="E45">
        <v>2</v>
      </c>
      <c r="F45">
        <v>35</v>
      </c>
      <c r="G45">
        <v>3</v>
      </c>
      <c r="I45" s="2">
        <v>6.67</v>
      </c>
      <c r="J45">
        <v>7</v>
      </c>
      <c r="K45">
        <v>6</v>
      </c>
      <c r="L45">
        <v>2</v>
      </c>
      <c r="M45">
        <v>2</v>
      </c>
      <c r="N45">
        <v>35</v>
      </c>
      <c r="O45">
        <v>3</v>
      </c>
      <c r="Q45" s="2">
        <v>6.67</v>
      </c>
      <c r="R45">
        <v>6.6700000000000008</v>
      </c>
      <c r="S45">
        <v>6.6700000000000008</v>
      </c>
      <c r="T45">
        <v>6.67</v>
      </c>
      <c r="U45">
        <v>6.67</v>
      </c>
      <c r="V45">
        <v>6.6699999999999946</v>
      </c>
      <c r="W45">
        <v>6.669999999999999</v>
      </c>
    </row>
    <row r="46" spans="1:23" x14ac:dyDescent="0.35">
      <c r="A46" s="113">
        <v>10</v>
      </c>
      <c r="B46">
        <v>73</v>
      </c>
      <c r="C46">
        <v>53</v>
      </c>
      <c r="D46">
        <v>82</v>
      </c>
      <c r="E46">
        <v>69</v>
      </c>
      <c r="F46">
        <v>51</v>
      </c>
      <c r="G46">
        <v>68</v>
      </c>
      <c r="I46" s="2">
        <v>10</v>
      </c>
      <c r="J46">
        <v>73</v>
      </c>
      <c r="K46">
        <v>53</v>
      </c>
      <c r="L46">
        <v>82</v>
      </c>
      <c r="M46">
        <v>69</v>
      </c>
      <c r="N46">
        <v>51</v>
      </c>
      <c r="O46">
        <v>68</v>
      </c>
      <c r="Q46" s="2">
        <v>10</v>
      </c>
      <c r="R46">
        <v>10</v>
      </c>
      <c r="S46">
        <v>10</v>
      </c>
      <c r="T46">
        <v>10</v>
      </c>
      <c r="U46">
        <v>10</v>
      </c>
      <c r="V46">
        <v>10</v>
      </c>
      <c r="W46">
        <v>10</v>
      </c>
    </row>
    <row r="47" spans="1:23" x14ac:dyDescent="0.35">
      <c r="A47" s="113" t="s">
        <v>128</v>
      </c>
      <c r="B47">
        <v>3</v>
      </c>
      <c r="C47">
        <v>4</v>
      </c>
      <c r="D47">
        <v>5</v>
      </c>
      <c r="I47" s="2" t="s">
        <v>128</v>
      </c>
      <c r="J47">
        <v>3</v>
      </c>
      <c r="K47">
        <v>4</v>
      </c>
      <c r="L47">
        <v>5</v>
      </c>
      <c r="Q47" s="2" t="s">
        <v>128</v>
      </c>
      <c r="R47" t="e">
        <v>#DIV/0!</v>
      </c>
      <c r="S47" t="e">
        <v>#DIV/0!</v>
      </c>
      <c r="T47" t="e">
        <v>#DIV/0!</v>
      </c>
    </row>
    <row r="48" spans="1:23" x14ac:dyDescent="0.35">
      <c r="A48" s="113" t="s">
        <v>77</v>
      </c>
      <c r="I48" s="2" t="s">
        <v>77</v>
      </c>
      <c r="Q48" s="2" t="s">
        <v>77</v>
      </c>
    </row>
    <row r="49" spans="1:23" x14ac:dyDescent="0.35">
      <c r="A49" s="113" t="s">
        <v>17</v>
      </c>
      <c r="E49">
        <v>5</v>
      </c>
      <c r="I49" s="2" t="s">
        <v>17</v>
      </c>
      <c r="M49">
        <v>5</v>
      </c>
      <c r="Q49" s="2" t="s">
        <v>17</v>
      </c>
      <c r="U49" t="e">
        <v>#DIV/0!</v>
      </c>
    </row>
    <row r="50" spans="1:23" x14ac:dyDescent="0.35">
      <c r="A50" s="113">
        <v>5</v>
      </c>
      <c r="G50">
        <v>2</v>
      </c>
      <c r="I50" s="2">
        <v>5</v>
      </c>
      <c r="O50">
        <v>2</v>
      </c>
      <c r="Q50" s="2">
        <v>5</v>
      </c>
      <c r="W50">
        <v>5</v>
      </c>
    </row>
    <row r="51" spans="1:23" x14ac:dyDescent="0.35">
      <c r="A51" s="113" t="s">
        <v>1</v>
      </c>
      <c r="B51">
        <v>94</v>
      </c>
      <c r="C51">
        <v>77</v>
      </c>
      <c r="D51">
        <v>97</v>
      </c>
      <c r="E51">
        <v>93</v>
      </c>
      <c r="F51">
        <v>88</v>
      </c>
      <c r="G51">
        <v>87</v>
      </c>
      <c r="I51" s="2" t="s">
        <v>1</v>
      </c>
      <c r="J51">
        <v>94</v>
      </c>
      <c r="K51">
        <v>77</v>
      </c>
      <c r="L51">
        <v>97</v>
      </c>
      <c r="M51">
        <v>93</v>
      </c>
      <c r="N51">
        <v>88</v>
      </c>
      <c r="O51">
        <v>87</v>
      </c>
      <c r="Q51" s="2" t="s">
        <v>1</v>
      </c>
      <c r="R51">
        <v>8.8643956043956038</v>
      </c>
      <c r="S51">
        <v>8.1734246575342464</v>
      </c>
      <c r="T51">
        <v>9.1304347826086953</v>
      </c>
      <c r="U51">
        <v>8.257386363636364</v>
      </c>
      <c r="V51">
        <v>8.4482954545454518</v>
      </c>
      <c r="W51">
        <v>8.4289655172413784</v>
      </c>
    </row>
    <row r="52" spans="1:23" x14ac:dyDescent="0.35">
      <c r="A52" s="113" t="s">
        <v>134</v>
      </c>
    </row>
    <row r="53" spans="1:23" x14ac:dyDescent="0.35">
      <c r="A53" s="112" t="s">
        <v>34</v>
      </c>
      <c r="B53" s="1" t="s">
        <v>130</v>
      </c>
      <c r="I53" s="1" t="s">
        <v>34</v>
      </c>
      <c r="J53" s="1" t="s">
        <v>130</v>
      </c>
      <c r="Q53" s="1" t="s">
        <v>39</v>
      </c>
      <c r="R53" s="1" t="s">
        <v>130</v>
      </c>
    </row>
    <row r="54" spans="1:23" x14ac:dyDescent="0.35">
      <c r="A54" s="112" t="s">
        <v>129</v>
      </c>
      <c r="B54">
        <v>2018</v>
      </c>
      <c r="C54">
        <v>2019</v>
      </c>
      <c r="D54">
        <v>2020</v>
      </c>
      <c r="E54">
        <v>2021</v>
      </c>
      <c r="F54">
        <v>2022</v>
      </c>
      <c r="G54">
        <v>2023</v>
      </c>
      <c r="I54" s="1" t="s">
        <v>129</v>
      </c>
      <c r="J54">
        <v>2018</v>
      </c>
      <c r="K54">
        <v>2019</v>
      </c>
      <c r="L54">
        <v>2020</v>
      </c>
      <c r="M54">
        <v>2021</v>
      </c>
      <c r="N54">
        <v>2022</v>
      </c>
      <c r="O54">
        <v>2023</v>
      </c>
      <c r="Q54" s="1" t="s">
        <v>129</v>
      </c>
      <c r="R54">
        <v>2018</v>
      </c>
      <c r="S54">
        <v>2019</v>
      </c>
      <c r="T54">
        <v>2020</v>
      </c>
      <c r="U54">
        <v>2021</v>
      </c>
      <c r="V54">
        <v>2022</v>
      </c>
      <c r="W54">
        <v>2023</v>
      </c>
    </row>
    <row r="55" spans="1:23" x14ac:dyDescent="0.35">
      <c r="A55" s="113">
        <v>0</v>
      </c>
      <c r="B55">
        <v>2</v>
      </c>
      <c r="C55">
        <v>5</v>
      </c>
      <c r="D55">
        <v>2</v>
      </c>
      <c r="E55">
        <v>6</v>
      </c>
      <c r="F55">
        <v>10</v>
      </c>
      <c r="G55">
        <v>5</v>
      </c>
      <c r="I55" s="2">
        <v>0</v>
      </c>
      <c r="J55" s="6">
        <v>2.1276595744680851E-2</v>
      </c>
      <c r="K55" s="6">
        <v>6.3291139240506333E-2</v>
      </c>
      <c r="L55" s="6">
        <v>2.0833333333333332E-2</v>
      </c>
      <c r="M55" s="6">
        <v>6.5217391304347824E-2</v>
      </c>
      <c r="N55" s="6">
        <v>0.10752688172043011</v>
      </c>
      <c r="O55" s="6">
        <v>5.7471264367816091E-2</v>
      </c>
      <c r="P55" s="6"/>
      <c r="Q55" s="2">
        <v>0</v>
      </c>
      <c r="R55">
        <v>0</v>
      </c>
      <c r="S55">
        <v>0</v>
      </c>
      <c r="T55">
        <v>0</v>
      </c>
      <c r="U55">
        <v>0</v>
      </c>
      <c r="V55">
        <v>0</v>
      </c>
      <c r="W55">
        <v>0</v>
      </c>
    </row>
    <row r="56" spans="1:23" x14ac:dyDescent="0.35">
      <c r="A56" s="113">
        <v>3.33</v>
      </c>
      <c r="B56">
        <v>2</v>
      </c>
      <c r="C56">
        <v>4</v>
      </c>
      <c r="D56">
        <v>4</v>
      </c>
      <c r="E56">
        <v>6</v>
      </c>
      <c r="F56">
        <v>2</v>
      </c>
      <c r="G56">
        <v>1</v>
      </c>
      <c r="I56" s="2">
        <v>3.33</v>
      </c>
      <c r="J56" s="6">
        <v>2.1276595744680851E-2</v>
      </c>
      <c r="K56" s="6">
        <v>5.0632911392405063E-2</v>
      </c>
      <c r="L56" s="6">
        <v>4.1666666666666664E-2</v>
      </c>
      <c r="M56" s="6">
        <v>6.5217391304347824E-2</v>
      </c>
      <c r="N56" s="6">
        <v>2.1505376344086023E-2</v>
      </c>
      <c r="O56" s="6">
        <v>1.1494252873563218E-2</v>
      </c>
      <c r="P56" s="6"/>
      <c r="Q56" s="2">
        <v>3.33</v>
      </c>
      <c r="R56">
        <v>3.33</v>
      </c>
      <c r="S56">
        <v>3.33</v>
      </c>
      <c r="T56">
        <v>3.33</v>
      </c>
      <c r="U56">
        <v>3.3299999999999996</v>
      </c>
      <c r="V56">
        <v>3.33</v>
      </c>
      <c r="W56">
        <v>3.33</v>
      </c>
    </row>
    <row r="57" spans="1:23" x14ac:dyDescent="0.35">
      <c r="A57" s="113">
        <v>6.67</v>
      </c>
      <c r="B57">
        <v>6</v>
      </c>
      <c r="C57">
        <v>2</v>
      </c>
      <c r="D57">
        <v>2</v>
      </c>
      <c r="E57">
        <v>3</v>
      </c>
      <c r="F57">
        <v>3</v>
      </c>
      <c r="G57">
        <v>5</v>
      </c>
      <c r="I57" s="2">
        <v>6.67</v>
      </c>
      <c r="J57" s="6">
        <v>6.3829787234042548E-2</v>
      </c>
      <c r="K57" s="6">
        <v>2.5316455696202531E-2</v>
      </c>
      <c r="L57" s="6">
        <v>2.0833333333333332E-2</v>
      </c>
      <c r="M57" s="6">
        <v>3.2608695652173912E-2</v>
      </c>
      <c r="N57" s="6">
        <v>3.2258064516129031E-2</v>
      </c>
      <c r="O57" s="6">
        <v>5.7471264367816091E-2</v>
      </c>
      <c r="P57" s="6"/>
      <c r="Q57" s="2">
        <v>6.67</v>
      </c>
      <c r="R57">
        <v>6.6700000000000008</v>
      </c>
      <c r="S57">
        <v>6.67</v>
      </c>
      <c r="T57">
        <v>6.67</v>
      </c>
      <c r="U57">
        <v>6.669999999999999</v>
      </c>
      <c r="V57">
        <v>6.669999999999999</v>
      </c>
      <c r="W57">
        <v>6.67</v>
      </c>
    </row>
    <row r="58" spans="1:23" x14ac:dyDescent="0.35">
      <c r="A58" s="113">
        <v>10</v>
      </c>
      <c r="B58">
        <v>81</v>
      </c>
      <c r="C58">
        <v>66</v>
      </c>
      <c r="D58">
        <v>84</v>
      </c>
      <c r="E58">
        <v>72</v>
      </c>
      <c r="F58">
        <v>78</v>
      </c>
      <c r="G58">
        <v>75</v>
      </c>
      <c r="I58" s="2">
        <v>10</v>
      </c>
      <c r="J58" s="6">
        <v>0.86170212765957444</v>
      </c>
      <c r="K58" s="6">
        <v>0.83544303797468356</v>
      </c>
      <c r="L58" s="6">
        <v>0.875</v>
      </c>
      <c r="M58" s="6">
        <v>0.78260869565217395</v>
      </c>
      <c r="N58" s="6">
        <v>0.83870967741935487</v>
      </c>
      <c r="O58" s="6">
        <v>0.86206896551724133</v>
      </c>
      <c r="P58" s="6"/>
      <c r="Q58" s="2">
        <v>10</v>
      </c>
      <c r="R58">
        <v>10</v>
      </c>
      <c r="S58">
        <v>10</v>
      </c>
      <c r="T58">
        <v>10</v>
      </c>
      <c r="U58">
        <v>10</v>
      </c>
      <c r="V58">
        <v>10</v>
      </c>
      <c r="W58">
        <v>10</v>
      </c>
    </row>
    <row r="59" spans="1:23" x14ac:dyDescent="0.35">
      <c r="A59" s="113" t="s">
        <v>128</v>
      </c>
      <c r="B59">
        <v>3</v>
      </c>
      <c r="C59">
        <v>2</v>
      </c>
      <c r="D59">
        <v>4</v>
      </c>
      <c r="I59" s="2" t="s">
        <v>128</v>
      </c>
      <c r="J59" s="6">
        <v>3.1914893617021274E-2</v>
      </c>
      <c r="K59" s="6">
        <v>2.5316455696202531E-2</v>
      </c>
      <c r="L59" s="6">
        <v>4.1666666666666664E-2</v>
      </c>
      <c r="M59" s="6">
        <v>0</v>
      </c>
      <c r="N59" s="6">
        <v>0</v>
      </c>
      <c r="O59" s="6">
        <v>0</v>
      </c>
      <c r="P59" s="6"/>
      <c r="Q59" s="2" t="s">
        <v>128</v>
      </c>
      <c r="R59" t="e">
        <v>#DIV/0!</v>
      </c>
      <c r="S59" t="e">
        <v>#DIV/0!</v>
      </c>
      <c r="T59" t="e">
        <v>#DIV/0!</v>
      </c>
    </row>
    <row r="60" spans="1:23" x14ac:dyDescent="0.35">
      <c r="A60" s="113" t="s">
        <v>77</v>
      </c>
      <c r="I60" s="2" t="s">
        <v>77</v>
      </c>
      <c r="J60" s="6">
        <v>0</v>
      </c>
      <c r="K60" s="6">
        <v>0</v>
      </c>
      <c r="L60" s="6">
        <v>0</v>
      </c>
      <c r="M60" s="6">
        <v>0</v>
      </c>
      <c r="N60" s="6">
        <v>0</v>
      </c>
      <c r="O60" s="6">
        <v>0</v>
      </c>
      <c r="P60" s="6"/>
      <c r="Q60" s="2" t="s">
        <v>77</v>
      </c>
    </row>
    <row r="61" spans="1:23" x14ac:dyDescent="0.35">
      <c r="A61" s="113" t="s">
        <v>17</v>
      </c>
      <c r="E61">
        <v>5</v>
      </c>
      <c r="I61" s="2" t="s">
        <v>17</v>
      </c>
      <c r="J61" s="6">
        <v>0</v>
      </c>
      <c r="K61" s="6">
        <v>0</v>
      </c>
      <c r="L61" s="6">
        <v>0</v>
      </c>
      <c r="M61" s="6">
        <v>5.434782608695652E-2</v>
      </c>
      <c r="N61" s="6">
        <v>0</v>
      </c>
      <c r="O61" s="6">
        <v>0</v>
      </c>
      <c r="P61" s="6"/>
      <c r="Q61" s="2" t="s">
        <v>17</v>
      </c>
      <c r="U61" t="e">
        <v>#DIV/0!</v>
      </c>
    </row>
    <row r="62" spans="1:23" x14ac:dyDescent="0.35">
      <c r="A62" s="113">
        <v>5</v>
      </c>
      <c r="G62">
        <v>1</v>
      </c>
      <c r="I62" s="2">
        <v>5</v>
      </c>
      <c r="J62" s="6">
        <v>0</v>
      </c>
      <c r="K62" s="6">
        <v>0</v>
      </c>
      <c r="L62" s="6">
        <v>0</v>
      </c>
      <c r="M62" s="6">
        <v>0</v>
      </c>
      <c r="N62" s="6">
        <v>0</v>
      </c>
      <c r="O62" s="6">
        <v>1.1494252873563218E-2</v>
      </c>
      <c r="P62" s="6"/>
      <c r="Q62" s="2">
        <v>5</v>
      </c>
      <c r="W62">
        <v>5</v>
      </c>
    </row>
    <row r="63" spans="1:23" x14ac:dyDescent="0.35">
      <c r="A63" s="113" t="s">
        <v>1</v>
      </c>
      <c r="B63">
        <v>94</v>
      </c>
      <c r="C63">
        <v>79</v>
      </c>
      <c r="D63">
        <v>96</v>
      </c>
      <c r="E63">
        <v>92</v>
      </c>
      <c r="F63">
        <v>93</v>
      </c>
      <c r="G63">
        <v>87</v>
      </c>
      <c r="I63" s="2" t="s">
        <v>1</v>
      </c>
      <c r="J63" s="6">
        <v>1</v>
      </c>
      <c r="K63" s="6">
        <v>1</v>
      </c>
      <c r="L63" s="6">
        <v>1</v>
      </c>
      <c r="M63" s="6">
        <v>1</v>
      </c>
      <c r="N63" s="6">
        <v>1</v>
      </c>
      <c r="O63" s="6">
        <v>1</v>
      </c>
      <c r="Q63" s="2" t="s">
        <v>1</v>
      </c>
      <c r="R63">
        <v>9.4140659340659347</v>
      </c>
      <c r="S63">
        <v>8.9176623376623372</v>
      </c>
      <c r="T63">
        <v>9.4202173913043481</v>
      </c>
      <c r="U63">
        <v>8.735517241379311</v>
      </c>
      <c r="V63">
        <v>8.6738709677419354</v>
      </c>
      <c r="W63">
        <v>9.0997701149425296</v>
      </c>
    </row>
    <row r="64" spans="1:23" x14ac:dyDescent="0.35">
      <c r="A64" s="113" t="s">
        <v>135</v>
      </c>
    </row>
    <row r="65" spans="1:23" x14ac:dyDescent="0.35">
      <c r="A65" s="112" t="s">
        <v>35</v>
      </c>
      <c r="B65" s="1" t="s">
        <v>130</v>
      </c>
      <c r="I65" s="1" t="s">
        <v>35</v>
      </c>
      <c r="J65" s="1" t="s">
        <v>130</v>
      </c>
      <c r="Q65" s="1" t="s">
        <v>38</v>
      </c>
      <c r="R65" s="1" t="s">
        <v>130</v>
      </c>
    </row>
    <row r="66" spans="1:23" x14ac:dyDescent="0.35">
      <c r="A66" s="112" t="s">
        <v>129</v>
      </c>
      <c r="B66">
        <v>2018</v>
      </c>
      <c r="C66">
        <v>2019</v>
      </c>
      <c r="D66">
        <v>2020</v>
      </c>
      <c r="E66">
        <v>2021</v>
      </c>
      <c r="F66">
        <v>2022</v>
      </c>
      <c r="G66">
        <v>2023</v>
      </c>
      <c r="I66" s="1" t="s">
        <v>129</v>
      </c>
      <c r="J66">
        <v>2018</v>
      </c>
      <c r="K66">
        <v>2019</v>
      </c>
      <c r="L66">
        <v>2020</v>
      </c>
      <c r="M66">
        <v>2021</v>
      </c>
      <c r="N66">
        <v>2022</v>
      </c>
      <c r="O66">
        <v>2023</v>
      </c>
      <c r="Q66" s="1" t="s">
        <v>129</v>
      </c>
      <c r="R66">
        <v>2018</v>
      </c>
      <c r="S66">
        <v>2019</v>
      </c>
      <c r="T66">
        <v>2020</v>
      </c>
      <c r="U66">
        <v>2021</v>
      </c>
      <c r="V66">
        <v>2022</v>
      </c>
      <c r="W66">
        <v>2023</v>
      </c>
    </row>
    <row r="67" spans="1:23" x14ac:dyDescent="0.35">
      <c r="A67" s="113">
        <v>0</v>
      </c>
      <c r="B67">
        <v>3</v>
      </c>
      <c r="C67">
        <v>4</v>
      </c>
      <c r="D67">
        <v>7</v>
      </c>
      <c r="E67">
        <v>7</v>
      </c>
      <c r="F67">
        <v>2</v>
      </c>
      <c r="G67">
        <v>3</v>
      </c>
      <c r="I67" s="2">
        <v>0</v>
      </c>
      <c r="J67" s="6">
        <v>2.0833333333333332E-2</v>
      </c>
      <c r="K67" s="6">
        <v>5.0632911392405063E-2</v>
      </c>
      <c r="L67" s="6">
        <v>2.0618556701030927E-2</v>
      </c>
      <c r="M67" s="6">
        <v>6.3157894736842107E-2</v>
      </c>
      <c r="N67" s="6">
        <v>0.10526315789473684</v>
      </c>
      <c r="O67" s="6">
        <v>5.7471264367816091E-2</v>
      </c>
      <c r="P67" s="6"/>
      <c r="Q67" s="2">
        <v>0</v>
      </c>
      <c r="R67">
        <v>0</v>
      </c>
      <c r="S67">
        <v>0</v>
      </c>
      <c r="T67">
        <v>0</v>
      </c>
      <c r="U67">
        <v>0</v>
      </c>
      <c r="V67">
        <v>0</v>
      </c>
      <c r="W67">
        <v>0</v>
      </c>
    </row>
    <row r="68" spans="1:23" x14ac:dyDescent="0.35">
      <c r="A68" s="113">
        <v>3.33</v>
      </c>
      <c r="B68">
        <v>4</v>
      </c>
      <c r="C68">
        <v>3</v>
      </c>
      <c r="D68">
        <v>5</v>
      </c>
      <c r="E68">
        <v>1</v>
      </c>
      <c r="F68">
        <v>4</v>
      </c>
      <c r="I68" s="2">
        <v>3.33</v>
      </c>
      <c r="J68" s="6">
        <v>2.0833333333333332E-2</v>
      </c>
      <c r="K68" s="6">
        <v>5.0632911392405063E-2</v>
      </c>
      <c r="L68" s="6">
        <v>4.1237113402061855E-2</v>
      </c>
      <c r="M68" s="6">
        <v>6.3157894736842107E-2</v>
      </c>
      <c r="N68" s="6">
        <v>2.1052631578947368E-2</v>
      </c>
      <c r="O68" s="6">
        <v>1.1494252873563218E-2</v>
      </c>
      <c r="P68" s="6"/>
      <c r="Q68" s="2">
        <v>3.33</v>
      </c>
      <c r="R68">
        <v>3.33</v>
      </c>
      <c r="S68">
        <v>3.33</v>
      </c>
      <c r="T68">
        <v>3.3299999999999996</v>
      </c>
      <c r="U68">
        <v>3.33</v>
      </c>
      <c r="V68">
        <v>3.33</v>
      </c>
    </row>
    <row r="69" spans="1:23" x14ac:dyDescent="0.35">
      <c r="A69" s="113">
        <v>6.67</v>
      </c>
      <c r="B69">
        <v>19</v>
      </c>
      <c r="C69">
        <v>13</v>
      </c>
      <c r="D69">
        <v>19</v>
      </c>
      <c r="E69">
        <v>23</v>
      </c>
      <c r="F69">
        <v>19</v>
      </c>
      <c r="G69">
        <v>25</v>
      </c>
      <c r="I69" s="2">
        <v>6.67</v>
      </c>
      <c r="J69" s="6">
        <v>6.25E-2</v>
      </c>
      <c r="K69" s="6">
        <v>2.5316455696202531E-2</v>
      </c>
      <c r="L69" s="6">
        <v>2.0618556701030927E-2</v>
      </c>
      <c r="M69" s="6">
        <v>3.1578947368421054E-2</v>
      </c>
      <c r="N69" s="6">
        <v>3.1578947368421054E-2</v>
      </c>
      <c r="O69" s="6">
        <v>5.7471264367816091E-2</v>
      </c>
      <c r="P69" s="6"/>
      <c r="Q69" s="2">
        <v>6.67</v>
      </c>
      <c r="R69">
        <v>6.6700000000000008</v>
      </c>
      <c r="S69">
        <v>6.6700000000000008</v>
      </c>
      <c r="T69">
        <v>6.6700000000000008</v>
      </c>
      <c r="U69">
        <v>6.669999999999999</v>
      </c>
      <c r="V69">
        <v>6.6700000000000008</v>
      </c>
      <c r="W69">
        <v>6.6699999999999982</v>
      </c>
    </row>
    <row r="70" spans="1:23" x14ac:dyDescent="0.35">
      <c r="A70" s="113">
        <v>10</v>
      </c>
      <c r="B70">
        <v>68</v>
      </c>
      <c r="C70">
        <v>58</v>
      </c>
      <c r="D70">
        <v>63</v>
      </c>
      <c r="E70">
        <v>61</v>
      </c>
      <c r="F70">
        <v>70</v>
      </c>
      <c r="G70">
        <v>57</v>
      </c>
      <c r="I70" s="2">
        <v>10</v>
      </c>
      <c r="J70" s="6">
        <v>0.84375</v>
      </c>
      <c r="K70" s="6">
        <v>0.83544303797468356</v>
      </c>
      <c r="L70" s="6">
        <v>0.865979381443299</v>
      </c>
      <c r="M70" s="6">
        <v>0.75789473684210529</v>
      </c>
      <c r="N70" s="6">
        <v>0.82105263157894737</v>
      </c>
      <c r="O70" s="6">
        <v>0.85057471264367812</v>
      </c>
      <c r="P70" s="6"/>
      <c r="Q70" s="2">
        <v>10</v>
      </c>
      <c r="R70">
        <v>10</v>
      </c>
      <c r="S70">
        <v>10</v>
      </c>
      <c r="T70">
        <v>10</v>
      </c>
      <c r="U70">
        <v>10</v>
      </c>
      <c r="V70">
        <v>10</v>
      </c>
      <c r="W70">
        <v>10</v>
      </c>
    </row>
    <row r="71" spans="1:23" x14ac:dyDescent="0.35">
      <c r="A71" s="113" t="s">
        <v>128</v>
      </c>
      <c r="B71">
        <v>2</v>
      </c>
      <c r="C71">
        <v>1</v>
      </c>
      <c r="D71">
        <v>3</v>
      </c>
      <c r="I71" s="2" t="s">
        <v>128</v>
      </c>
      <c r="J71" s="6">
        <v>3.125E-2</v>
      </c>
      <c r="K71" s="6">
        <v>2.5316455696202531E-2</v>
      </c>
      <c r="L71" s="6">
        <v>4.1237113402061855E-2</v>
      </c>
      <c r="M71" s="6">
        <v>0</v>
      </c>
      <c r="N71" s="6">
        <v>0</v>
      </c>
      <c r="O71" s="6">
        <v>0</v>
      </c>
      <c r="P71" s="6"/>
      <c r="Q71" s="2" t="s">
        <v>128</v>
      </c>
      <c r="R71" t="e">
        <v>#DIV/0!</v>
      </c>
      <c r="S71" t="e">
        <v>#DIV/0!</v>
      </c>
      <c r="T71" t="e">
        <v>#DIV/0!</v>
      </c>
    </row>
    <row r="72" spans="1:23" x14ac:dyDescent="0.35">
      <c r="A72" s="113" t="s">
        <v>77</v>
      </c>
      <c r="I72" s="2" t="s">
        <v>77</v>
      </c>
      <c r="J72" s="6">
        <v>2.0833333333333332E-2</v>
      </c>
      <c r="K72" s="6">
        <v>1.2658227848101266E-2</v>
      </c>
      <c r="L72" s="6">
        <v>1.0309278350515464E-2</v>
      </c>
      <c r="M72" s="6">
        <v>3.1578947368421054E-2</v>
      </c>
      <c r="N72" s="6">
        <v>2.1052631578947368E-2</v>
      </c>
      <c r="O72" s="6">
        <v>1.1494252873563218E-2</v>
      </c>
      <c r="P72" s="6"/>
      <c r="Q72" s="2" t="s">
        <v>17</v>
      </c>
      <c r="U72" t="e">
        <v>#DIV/0!</v>
      </c>
    </row>
    <row r="73" spans="1:23" x14ac:dyDescent="0.35">
      <c r="A73" s="113" t="s">
        <v>17</v>
      </c>
      <c r="E73">
        <v>3</v>
      </c>
      <c r="I73" s="2" t="s">
        <v>17</v>
      </c>
      <c r="J73" s="6">
        <v>0</v>
      </c>
      <c r="K73" s="6">
        <v>0</v>
      </c>
      <c r="L73" s="6">
        <v>0</v>
      </c>
      <c r="M73" s="6">
        <v>5.2631578947368418E-2</v>
      </c>
      <c r="N73" s="6">
        <v>0</v>
      </c>
      <c r="O73" s="6">
        <v>0</v>
      </c>
      <c r="P73" s="6"/>
      <c r="Q73" s="2" t="s">
        <v>77</v>
      </c>
    </row>
    <row r="74" spans="1:23" x14ac:dyDescent="0.35">
      <c r="A74" s="113">
        <v>5</v>
      </c>
      <c r="G74">
        <v>2</v>
      </c>
      <c r="I74" s="2">
        <v>5</v>
      </c>
      <c r="J74" s="6">
        <v>0</v>
      </c>
      <c r="K74" s="6">
        <v>0</v>
      </c>
      <c r="L74" s="6">
        <v>0</v>
      </c>
      <c r="M74" s="6">
        <v>0</v>
      </c>
      <c r="N74" s="6">
        <v>0</v>
      </c>
      <c r="O74" s="6">
        <v>1.1494252873563218E-2</v>
      </c>
      <c r="P74" s="6"/>
      <c r="Q74" s="2">
        <v>5</v>
      </c>
      <c r="W74">
        <v>5</v>
      </c>
    </row>
    <row r="75" spans="1:23" x14ac:dyDescent="0.35">
      <c r="A75" s="113" t="s">
        <v>1</v>
      </c>
      <c r="B75">
        <v>96</v>
      </c>
      <c r="C75">
        <v>79</v>
      </c>
      <c r="D75">
        <v>97</v>
      </c>
      <c r="E75">
        <v>95</v>
      </c>
      <c r="F75">
        <v>95</v>
      </c>
      <c r="G75">
        <v>87</v>
      </c>
      <c r="I75" s="2" t="s">
        <v>1</v>
      </c>
      <c r="J75" s="6">
        <v>1</v>
      </c>
      <c r="K75" s="6">
        <v>1</v>
      </c>
      <c r="L75" s="6">
        <v>1</v>
      </c>
      <c r="M75" s="6">
        <v>1</v>
      </c>
      <c r="N75" s="6">
        <v>1</v>
      </c>
      <c r="O75" s="6">
        <v>1</v>
      </c>
      <c r="Q75" s="2" t="s">
        <v>1</v>
      </c>
      <c r="R75">
        <v>8.7239361702127649</v>
      </c>
      <c r="S75">
        <v>8.6756410256410259</v>
      </c>
      <c r="T75">
        <v>8.2274468085106385</v>
      </c>
      <c r="U75">
        <v>8.3341304347826082</v>
      </c>
      <c r="V75">
        <v>8.8426315789473673</v>
      </c>
      <c r="W75">
        <v>8.5833333333333339</v>
      </c>
    </row>
    <row r="76" spans="1:23" ht="29" x14ac:dyDescent="0.35">
      <c r="A76" s="113" t="s">
        <v>136</v>
      </c>
    </row>
    <row r="77" spans="1:23" x14ac:dyDescent="0.35">
      <c r="A77" s="112" t="s">
        <v>36</v>
      </c>
      <c r="B77" s="1" t="s">
        <v>130</v>
      </c>
      <c r="I77" s="1" t="s">
        <v>36</v>
      </c>
      <c r="J77" s="1" t="s">
        <v>130</v>
      </c>
      <c r="Q77" s="1" t="s">
        <v>37</v>
      </c>
      <c r="R77" s="1" t="s">
        <v>130</v>
      </c>
    </row>
    <row r="78" spans="1:23" x14ac:dyDescent="0.35">
      <c r="A78" s="112" t="s">
        <v>129</v>
      </c>
      <c r="B78">
        <v>2018</v>
      </c>
      <c r="C78">
        <v>2019</v>
      </c>
      <c r="D78">
        <v>2020</v>
      </c>
      <c r="E78">
        <v>2021</v>
      </c>
      <c r="F78">
        <v>2022</v>
      </c>
      <c r="G78">
        <v>2023</v>
      </c>
      <c r="I78" s="1" t="s">
        <v>129</v>
      </c>
      <c r="J78">
        <v>2018</v>
      </c>
      <c r="K78">
        <v>2019</v>
      </c>
      <c r="L78">
        <v>2020</v>
      </c>
      <c r="M78">
        <v>2021</v>
      </c>
      <c r="N78">
        <v>2022</v>
      </c>
      <c r="O78">
        <v>2023</v>
      </c>
      <c r="Q78" s="1" t="s">
        <v>129</v>
      </c>
      <c r="R78">
        <v>2018</v>
      </c>
      <c r="S78">
        <v>2019</v>
      </c>
      <c r="T78">
        <v>2020</v>
      </c>
      <c r="U78">
        <v>2021</v>
      </c>
      <c r="V78">
        <v>2022</v>
      </c>
      <c r="W78">
        <v>2023</v>
      </c>
    </row>
    <row r="79" spans="1:23" x14ac:dyDescent="0.35">
      <c r="A79" s="113">
        <v>0</v>
      </c>
      <c r="B79">
        <v>1</v>
      </c>
      <c r="E79">
        <v>3</v>
      </c>
      <c r="I79" s="2">
        <v>0</v>
      </c>
      <c r="J79" s="6">
        <v>1.098901098901099E-2</v>
      </c>
      <c r="K79" s="6">
        <v>0</v>
      </c>
      <c r="L79" s="6">
        <v>0</v>
      </c>
      <c r="M79" s="6">
        <v>3.2608695652173912E-2</v>
      </c>
      <c r="N79" s="6">
        <v>0</v>
      </c>
      <c r="O79" s="6">
        <v>0</v>
      </c>
      <c r="P79" s="6"/>
      <c r="Q79" s="2">
        <v>0</v>
      </c>
      <c r="R79">
        <v>0</v>
      </c>
      <c r="U79">
        <v>0</v>
      </c>
    </row>
    <row r="80" spans="1:23" x14ac:dyDescent="0.35">
      <c r="A80" s="113">
        <v>3.33</v>
      </c>
      <c r="D80">
        <v>1</v>
      </c>
      <c r="F80">
        <v>1</v>
      </c>
      <c r="G80">
        <v>4</v>
      </c>
      <c r="I80" s="2">
        <v>3.33</v>
      </c>
      <c r="J80" s="6">
        <v>0</v>
      </c>
      <c r="K80" s="6">
        <v>0</v>
      </c>
      <c r="L80" s="6">
        <v>1.0526315789473684E-2</v>
      </c>
      <c r="M80" s="6">
        <v>0</v>
      </c>
      <c r="N80" s="6">
        <v>1.1235955056179775E-2</v>
      </c>
      <c r="O80" s="6">
        <v>4.9382716049382713E-2</v>
      </c>
      <c r="P80" s="6"/>
      <c r="Q80" s="2">
        <v>3.33</v>
      </c>
      <c r="T80">
        <v>3.33</v>
      </c>
      <c r="V80">
        <v>3.33</v>
      </c>
      <c r="W80">
        <v>3.33</v>
      </c>
    </row>
    <row r="81" spans="1:23" x14ac:dyDescent="0.35">
      <c r="A81" s="113">
        <v>6.67</v>
      </c>
      <c r="B81">
        <v>20</v>
      </c>
      <c r="C81">
        <v>15</v>
      </c>
      <c r="D81">
        <v>16</v>
      </c>
      <c r="E81">
        <v>15</v>
      </c>
      <c r="F81">
        <v>16</v>
      </c>
      <c r="G81">
        <v>13</v>
      </c>
      <c r="I81" s="2">
        <v>6.67</v>
      </c>
      <c r="J81" s="6">
        <v>0.21978021978021978</v>
      </c>
      <c r="K81" s="6">
        <v>0.20833333333333334</v>
      </c>
      <c r="L81" s="6">
        <v>0.16842105263157894</v>
      </c>
      <c r="M81" s="6">
        <v>0.16304347826086957</v>
      </c>
      <c r="N81" s="6">
        <v>0.1797752808988764</v>
      </c>
      <c r="O81" s="6">
        <v>0.16049382716049382</v>
      </c>
      <c r="P81" s="6"/>
      <c r="Q81" s="2">
        <v>6.67</v>
      </c>
      <c r="R81">
        <v>6.67</v>
      </c>
      <c r="S81">
        <v>6.6700000000000008</v>
      </c>
      <c r="T81">
        <v>6.6700000000000008</v>
      </c>
      <c r="U81">
        <v>6.6700000000000008</v>
      </c>
      <c r="V81">
        <v>6.6700000000000008</v>
      </c>
      <c r="W81">
        <v>6.6700000000000008</v>
      </c>
    </row>
    <row r="82" spans="1:23" x14ac:dyDescent="0.35">
      <c r="A82" s="113">
        <v>10</v>
      </c>
      <c r="B82">
        <v>64</v>
      </c>
      <c r="C82">
        <v>54</v>
      </c>
      <c r="D82">
        <v>74</v>
      </c>
      <c r="E82">
        <v>70</v>
      </c>
      <c r="F82">
        <v>72</v>
      </c>
      <c r="G82">
        <v>63</v>
      </c>
      <c r="I82" s="2">
        <v>10</v>
      </c>
      <c r="J82" s="6">
        <v>0.70329670329670335</v>
      </c>
      <c r="K82" s="6">
        <v>0.75</v>
      </c>
      <c r="L82" s="6">
        <v>0.77894736842105261</v>
      </c>
      <c r="M82" s="6">
        <v>0.76086956521739135</v>
      </c>
      <c r="N82" s="6">
        <v>0.8089887640449438</v>
      </c>
      <c r="O82" s="6">
        <v>0.77777777777777779</v>
      </c>
      <c r="P82" s="6"/>
      <c r="Q82" s="2">
        <v>10</v>
      </c>
      <c r="R82">
        <v>10</v>
      </c>
      <c r="S82">
        <v>10</v>
      </c>
      <c r="T82">
        <v>10</v>
      </c>
      <c r="U82">
        <v>10</v>
      </c>
      <c r="V82">
        <v>10</v>
      </c>
      <c r="W82">
        <v>10</v>
      </c>
    </row>
    <row r="83" spans="1:23" x14ac:dyDescent="0.35">
      <c r="A83" s="113" t="s">
        <v>128</v>
      </c>
      <c r="B83">
        <v>6</v>
      </c>
      <c r="C83">
        <v>3</v>
      </c>
      <c r="D83">
        <v>4</v>
      </c>
      <c r="I83" s="2" t="s">
        <v>128</v>
      </c>
      <c r="J83" s="6">
        <v>6.5934065934065936E-2</v>
      </c>
      <c r="K83" s="6">
        <v>4.1666666666666664E-2</v>
      </c>
      <c r="L83" s="6">
        <v>4.2105263157894736E-2</v>
      </c>
      <c r="M83" s="6">
        <v>0</v>
      </c>
      <c r="N83" s="6">
        <v>0</v>
      </c>
      <c r="O83" s="6">
        <v>0</v>
      </c>
      <c r="P83" s="6"/>
      <c r="Q83" s="2" t="s">
        <v>128</v>
      </c>
      <c r="R83" t="e">
        <v>#DIV/0!</v>
      </c>
      <c r="S83" t="e">
        <v>#DIV/0!</v>
      </c>
      <c r="T83" t="e">
        <v>#DIV/0!</v>
      </c>
    </row>
    <row r="84" spans="1:23" x14ac:dyDescent="0.35">
      <c r="A84" s="113" t="s">
        <v>77</v>
      </c>
      <c r="I84" s="2" t="s">
        <v>77</v>
      </c>
      <c r="J84" s="6">
        <v>0</v>
      </c>
      <c r="K84" s="6">
        <v>0</v>
      </c>
      <c r="L84" s="6">
        <v>0</v>
      </c>
      <c r="M84" s="6">
        <v>0</v>
      </c>
      <c r="N84" s="6">
        <v>0</v>
      </c>
      <c r="O84" s="6">
        <v>0</v>
      </c>
      <c r="P84" s="6"/>
      <c r="Q84" s="2" t="s">
        <v>77</v>
      </c>
    </row>
    <row r="85" spans="1:23" x14ac:dyDescent="0.35">
      <c r="A85" s="113" t="s">
        <v>17</v>
      </c>
      <c r="E85">
        <v>4</v>
      </c>
      <c r="I85" s="2" t="s">
        <v>17</v>
      </c>
      <c r="J85" s="6">
        <v>0</v>
      </c>
      <c r="K85" s="6">
        <v>0</v>
      </c>
      <c r="L85" s="6">
        <v>0</v>
      </c>
      <c r="M85" s="6">
        <v>4.3478260869565216E-2</v>
      </c>
      <c r="N85" s="6">
        <v>0</v>
      </c>
      <c r="O85" s="6">
        <v>0</v>
      </c>
      <c r="P85" s="6"/>
      <c r="Q85" s="2" t="s">
        <v>17</v>
      </c>
      <c r="U85" t="e">
        <v>#DIV/0!</v>
      </c>
    </row>
    <row r="86" spans="1:23" x14ac:dyDescent="0.35">
      <c r="A86" s="113">
        <v>1</v>
      </c>
      <c r="G86">
        <v>1</v>
      </c>
      <c r="I86" s="2">
        <v>1</v>
      </c>
      <c r="J86" s="6">
        <v>0</v>
      </c>
      <c r="K86" s="6">
        <v>0</v>
      </c>
      <c r="L86" s="6">
        <v>0</v>
      </c>
      <c r="M86" s="6">
        <v>0</v>
      </c>
      <c r="N86" s="6">
        <v>0</v>
      </c>
      <c r="O86" s="6">
        <v>1.2345679012345678E-2</v>
      </c>
      <c r="P86" s="6"/>
      <c r="Q86" s="2">
        <v>1</v>
      </c>
      <c r="W86">
        <v>1</v>
      </c>
    </row>
    <row r="87" spans="1:23" x14ac:dyDescent="0.35">
      <c r="A87" s="113" t="s">
        <v>1</v>
      </c>
      <c r="B87">
        <v>91</v>
      </c>
      <c r="C87">
        <v>72</v>
      </c>
      <c r="D87">
        <v>95</v>
      </c>
      <c r="E87">
        <v>92</v>
      </c>
      <c r="F87">
        <v>89</v>
      </c>
      <c r="G87">
        <v>81</v>
      </c>
      <c r="I87" s="2" t="s">
        <v>1</v>
      </c>
      <c r="J87" s="6">
        <v>1</v>
      </c>
      <c r="K87" s="6">
        <v>1</v>
      </c>
      <c r="L87" s="6">
        <v>1</v>
      </c>
      <c r="M87" s="6">
        <v>1</v>
      </c>
      <c r="N87" s="6">
        <v>1</v>
      </c>
      <c r="O87" s="6">
        <v>1</v>
      </c>
      <c r="Q87" s="2" t="s">
        <v>1</v>
      </c>
      <c r="R87">
        <v>9.0988235294117636</v>
      </c>
      <c r="S87">
        <v>9.2760869565217376</v>
      </c>
      <c r="T87">
        <v>9.3412087912087909</v>
      </c>
      <c r="U87">
        <v>9.091477272727273</v>
      </c>
      <c r="V87">
        <v>9.3264044943820217</v>
      </c>
      <c r="W87">
        <v>9.0250617283950607</v>
      </c>
    </row>
    <row r="88" spans="1:23" x14ac:dyDescent="0.35">
      <c r="A88" s="114" t="s">
        <v>29</v>
      </c>
    </row>
    <row r="89" spans="1:23" x14ac:dyDescent="0.35">
      <c r="A89" s="112" t="s">
        <v>49</v>
      </c>
      <c r="B89" s="1" t="s">
        <v>130</v>
      </c>
      <c r="I89" s="1" t="s">
        <v>49</v>
      </c>
      <c r="J89" s="1" t="s">
        <v>130</v>
      </c>
      <c r="Q89" s="1" t="s">
        <v>51</v>
      </c>
      <c r="R89" s="1" t="s">
        <v>130</v>
      </c>
    </row>
    <row r="90" spans="1:23" x14ac:dyDescent="0.35">
      <c r="A90" s="112" t="s">
        <v>129</v>
      </c>
      <c r="B90">
        <v>2018</v>
      </c>
      <c r="C90">
        <v>2019</v>
      </c>
      <c r="D90">
        <v>2020</v>
      </c>
      <c r="E90">
        <v>2021</v>
      </c>
      <c r="F90">
        <v>2022</v>
      </c>
      <c r="G90">
        <v>2023</v>
      </c>
      <c r="I90" s="1" t="s">
        <v>129</v>
      </c>
      <c r="J90">
        <v>2018</v>
      </c>
      <c r="K90">
        <v>2019</v>
      </c>
      <c r="L90">
        <v>2020</v>
      </c>
      <c r="M90">
        <v>2021</v>
      </c>
      <c r="N90">
        <v>2022</v>
      </c>
      <c r="O90">
        <v>2023</v>
      </c>
      <c r="Q90" s="1" t="s">
        <v>129</v>
      </c>
      <c r="R90">
        <v>2018</v>
      </c>
      <c r="S90">
        <v>2019</v>
      </c>
      <c r="T90">
        <v>2020</v>
      </c>
      <c r="U90">
        <v>2021</v>
      </c>
      <c r="V90">
        <v>2022</v>
      </c>
      <c r="W90">
        <v>2023</v>
      </c>
    </row>
    <row r="91" spans="1:23" x14ac:dyDescent="0.35">
      <c r="A91" s="113">
        <v>0</v>
      </c>
      <c r="B91">
        <v>3</v>
      </c>
      <c r="C91">
        <v>2</v>
      </c>
      <c r="D91">
        <v>5</v>
      </c>
      <c r="E91">
        <v>4</v>
      </c>
      <c r="F91">
        <v>2</v>
      </c>
      <c r="G91">
        <v>3</v>
      </c>
      <c r="I91" s="2">
        <v>0</v>
      </c>
      <c r="J91" s="6">
        <v>3.1914893617021274E-2</v>
      </c>
      <c r="K91" s="6">
        <v>2.5000000000000001E-2</v>
      </c>
      <c r="L91" s="6">
        <v>5.2083333333333336E-2</v>
      </c>
      <c r="M91" s="6">
        <v>4.2105263157894736E-2</v>
      </c>
      <c r="N91" s="6">
        <v>2.1739130434782608E-2</v>
      </c>
      <c r="O91" s="6">
        <v>3.614457831325301E-2</v>
      </c>
      <c r="P91" s="6"/>
      <c r="Q91" s="2">
        <v>0</v>
      </c>
      <c r="R91">
        <v>0</v>
      </c>
      <c r="S91">
        <v>0</v>
      </c>
      <c r="T91">
        <v>0</v>
      </c>
      <c r="U91">
        <v>0</v>
      </c>
      <c r="V91">
        <v>0</v>
      </c>
      <c r="W91">
        <v>0</v>
      </c>
    </row>
    <row r="92" spans="1:23" x14ac:dyDescent="0.35">
      <c r="A92" s="113">
        <v>3.33</v>
      </c>
      <c r="B92">
        <v>4</v>
      </c>
      <c r="C92">
        <v>6</v>
      </c>
      <c r="D92">
        <v>3</v>
      </c>
      <c r="E92">
        <v>4</v>
      </c>
      <c r="F92">
        <v>3</v>
      </c>
      <c r="G92">
        <v>2</v>
      </c>
      <c r="I92" s="2">
        <v>3.33</v>
      </c>
      <c r="J92" s="6">
        <v>4.2553191489361701E-2</v>
      </c>
      <c r="K92" s="6">
        <v>7.4999999999999997E-2</v>
      </c>
      <c r="L92" s="6">
        <v>3.125E-2</v>
      </c>
      <c r="M92" s="6">
        <v>4.2105263157894736E-2</v>
      </c>
      <c r="N92" s="6">
        <v>3.2608695652173912E-2</v>
      </c>
      <c r="O92" s="6">
        <v>2.4096385542168676E-2</v>
      </c>
      <c r="P92" s="6"/>
      <c r="Q92" s="2">
        <v>3.33</v>
      </c>
      <c r="R92">
        <v>3.33</v>
      </c>
      <c r="S92">
        <v>3.3299999999999996</v>
      </c>
      <c r="T92">
        <v>3.33</v>
      </c>
      <c r="U92">
        <v>3.33</v>
      </c>
      <c r="V92">
        <v>3.33</v>
      </c>
      <c r="W92">
        <v>3.33</v>
      </c>
    </row>
    <row r="93" spans="1:23" x14ac:dyDescent="0.35">
      <c r="A93" s="113">
        <v>6.67</v>
      </c>
      <c r="B93">
        <v>17</v>
      </c>
      <c r="C93">
        <v>11</v>
      </c>
      <c r="D93">
        <v>21</v>
      </c>
      <c r="E93">
        <v>23</v>
      </c>
      <c r="F93">
        <v>16</v>
      </c>
      <c r="G93">
        <v>22</v>
      </c>
      <c r="I93" s="2">
        <v>6.67</v>
      </c>
      <c r="J93" s="6">
        <v>0.18085106382978725</v>
      </c>
      <c r="K93" s="6">
        <v>0.13750000000000001</v>
      </c>
      <c r="L93" s="6">
        <v>0.21875</v>
      </c>
      <c r="M93" s="6">
        <v>0.24210526315789474</v>
      </c>
      <c r="N93" s="6">
        <v>0.17391304347826086</v>
      </c>
      <c r="O93" s="6">
        <v>0.26506024096385544</v>
      </c>
      <c r="P93" s="6"/>
      <c r="Q93" s="2">
        <v>6.67</v>
      </c>
      <c r="R93">
        <v>6.6700000000000008</v>
      </c>
      <c r="S93">
        <v>6.6700000000000008</v>
      </c>
      <c r="T93">
        <v>6.67</v>
      </c>
      <c r="U93">
        <v>6.669999999999999</v>
      </c>
      <c r="V93">
        <v>6.6700000000000008</v>
      </c>
      <c r="W93">
        <v>6.669999999999999</v>
      </c>
    </row>
    <row r="94" spans="1:23" x14ac:dyDescent="0.35">
      <c r="A94" s="113">
        <v>10</v>
      </c>
      <c r="B94">
        <v>66</v>
      </c>
      <c r="C94">
        <v>60</v>
      </c>
      <c r="D94">
        <v>65</v>
      </c>
      <c r="E94">
        <v>60</v>
      </c>
      <c r="F94">
        <v>71</v>
      </c>
      <c r="G94">
        <v>55</v>
      </c>
      <c r="I94" s="2">
        <v>10</v>
      </c>
      <c r="J94" s="6">
        <v>0.7021276595744681</v>
      </c>
      <c r="K94" s="6">
        <v>0.75</v>
      </c>
      <c r="L94" s="6">
        <v>0.67708333333333337</v>
      </c>
      <c r="M94" s="6">
        <v>0.63157894736842102</v>
      </c>
      <c r="N94" s="6">
        <v>0.77173913043478259</v>
      </c>
      <c r="O94" s="6">
        <v>0.66265060240963858</v>
      </c>
      <c r="P94" s="6"/>
      <c r="Q94" s="2">
        <v>10</v>
      </c>
      <c r="R94">
        <v>10</v>
      </c>
      <c r="S94">
        <v>10</v>
      </c>
      <c r="T94">
        <v>10</v>
      </c>
      <c r="U94">
        <v>10</v>
      </c>
      <c r="V94">
        <v>10</v>
      </c>
      <c r="W94">
        <v>10</v>
      </c>
    </row>
    <row r="95" spans="1:23" x14ac:dyDescent="0.35">
      <c r="A95" s="113" t="s">
        <v>128</v>
      </c>
      <c r="B95">
        <v>4</v>
      </c>
      <c r="C95">
        <v>1</v>
      </c>
      <c r="D95">
        <v>2</v>
      </c>
      <c r="I95" s="2" t="s">
        <v>128</v>
      </c>
      <c r="J95" s="6">
        <v>4.2553191489361701E-2</v>
      </c>
      <c r="K95" s="6">
        <v>1.2500000000000001E-2</v>
      </c>
      <c r="L95" s="6">
        <v>2.0833333333333332E-2</v>
      </c>
      <c r="M95" s="6">
        <v>0</v>
      </c>
      <c r="N95" s="6">
        <v>0</v>
      </c>
      <c r="O95" s="6">
        <v>0</v>
      </c>
      <c r="P95" s="6"/>
      <c r="Q95" s="2" t="s">
        <v>128</v>
      </c>
      <c r="R95" t="e">
        <v>#DIV/0!</v>
      </c>
      <c r="S95" t="e">
        <v>#DIV/0!</v>
      </c>
      <c r="T95" t="e">
        <v>#DIV/0!</v>
      </c>
    </row>
    <row r="96" spans="1:23" x14ac:dyDescent="0.35">
      <c r="A96" s="113" t="s">
        <v>77</v>
      </c>
      <c r="I96" s="2" t="s">
        <v>77</v>
      </c>
      <c r="J96" s="6">
        <v>0</v>
      </c>
      <c r="K96" s="6">
        <v>0</v>
      </c>
      <c r="L96" s="6">
        <v>0</v>
      </c>
      <c r="M96" s="6">
        <v>0</v>
      </c>
      <c r="N96" s="6">
        <v>0</v>
      </c>
      <c r="O96" s="6">
        <v>0</v>
      </c>
      <c r="P96" s="6"/>
      <c r="Q96" s="2" t="s">
        <v>77</v>
      </c>
    </row>
    <row r="97" spans="1:23" x14ac:dyDescent="0.35">
      <c r="A97" s="113" t="s">
        <v>17</v>
      </c>
      <c r="E97">
        <v>4</v>
      </c>
      <c r="I97" s="2" t="s">
        <v>17</v>
      </c>
      <c r="J97" s="6">
        <v>0</v>
      </c>
      <c r="K97" s="6">
        <v>0</v>
      </c>
      <c r="L97" s="6">
        <v>0</v>
      </c>
      <c r="M97" s="6">
        <v>4.2105263157894736E-2</v>
      </c>
      <c r="N97" s="6">
        <v>0</v>
      </c>
      <c r="O97" s="6">
        <v>0</v>
      </c>
      <c r="P97" s="6"/>
      <c r="Q97" s="2" t="s">
        <v>17</v>
      </c>
      <c r="U97" t="e">
        <v>#DIV/0!</v>
      </c>
    </row>
    <row r="98" spans="1:23" x14ac:dyDescent="0.35">
      <c r="A98" s="113">
        <v>1</v>
      </c>
      <c r="G98">
        <v>1</v>
      </c>
      <c r="I98" s="2">
        <v>1</v>
      </c>
      <c r="J98" s="6">
        <v>0</v>
      </c>
      <c r="K98" s="6">
        <v>0</v>
      </c>
      <c r="L98" s="6">
        <v>0</v>
      </c>
      <c r="M98" s="6">
        <v>0</v>
      </c>
      <c r="N98" s="6">
        <v>0</v>
      </c>
      <c r="O98" s="6">
        <v>1.2048192771084338E-2</v>
      </c>
      <c r="P98" s="6"/>
      <c r="Q98" s="2">
        <v>1</v>
      </c>
      <c r="W98">
        <v>1</v>
      </c>
    </row>
    <row r="99" spans="1:23" x14ac:dyDescent="0.35">
      <c r="A99" s="113" t="s">
        <v>1</v>
      </c>
      <c r="B99">
        <v>94</v>
      </c>
      <c r="C99">
        <v>80</v>
      </c>
      <c r="D99">
        <v>96</v>
      </c>
      <c r="E99">
        <v>95</v>
      </c>
      <c r="F99">
        <v>92</v>
      </c>
      <c r="G99">
        <v>83</v>
      </c>
      <c r="I99" s="2" t="s">
        <v>1</v>
      </c>
      <c r="J99" s="6">
        <v>1</v>
      </c>
      <c r="K99" s="6">
        <v>1</v>
      </c>
      <c r="L99" s="6">
        <v>1</v>
      </c>
      <c r="M99" s="6">
        <v>1</v>
      </c>
      <c r="N99" s="6">
        <v>1</v>
      </c>
      <c r="O99" s="6">
        <v>1</v>
      </c>
      <c r="Q99" s="2" t="s">
        <v>1</v>
      </c>
      <c r="R99">
        <v>8.7412222222222233</v>
      </c>
      <c r="S99">
        <v>8.7765822784810137</v>
      </c>
      <c r="T99">
        <v>8.5112765957446808</v>
      </c>
      <c r="U99">
        <v>8.4256043956043953</v>
      </c>
      <c r="V99">
        <v>8.9859782608695653</v>
      </c>
      <c r="W99">
        <v>8.4867469879518076</v>
      </c>
    </row>
    <row r="100" spans="1:23" ht="24" x14ac:dyDescent="0.35">
      <c r="A100" s="114" t="s">
        <v>44</v>
      </c>
    </row>
    <row r="101" spans="1:23" x14ac:dyDescent="0.35">
      <c r="A101" s="112" t="s">
        <v>50</v>
      </c>
      <c r="B101" s="1" t="s">
        <v>130</v>
      </c>
      <c r="I101" s="1" t="s">
        <v>50</v>
      </c>
      <c r="J101" s="1" t="s">
        <v>130</v>
      </c>
      <c r="Q101" s="1" t="s">
        <v>52</v>
      </c>
      <c r="R101" s="1" t="s">
        <v>130</v>
      </c>
    </row>
    <row r="102" spans="1:23" x14ac:dyDescent="0.35">
      <c r="A102" s="112" t="s">
        <v>129</v>
      </c>
      <c r="B102">
        <v>2018</v>
      </c>
      <c r="C102">
        <v>2019</v>
      </c>
      <c r="D102">
        <v>2020</v>
      </c>
      <c r="E102">
        <v>2021</v>
      </c>
      <c r="F102">
        <v>2022</v>
      </c>
      <c r="G102">
        <v>2023</v>
      </c>
      <c r="I102" s="1" t="s">
        <v>129</v>
      </c>
      <c r="J102">
        <v>2018</v>
      </c>
      <c r="K102">
        <v>2019</v>
      </c>
      <c r="L102">
        <v>2020</v>
      </c>
      <c r="M102">
        <v>2021</v>
      </c>
      <c r="N102">
        <v>2022</v>
      </c>
      <c r="O102">
        <v>2023</v>
      </c>
      <c r="Q102" s="1" t="s">
        <v>129</v>
      </c>
      <c r="R102">
        <v>2018</v>
      </c>
      <c r="S102">
        <v>2019</v>
      </c>
      <c r="T102">
        <v>2020</v>
      </c>
      <c r="U102">
        <v>2021</v>
      </c>
      <c r="V102">
        <v>2022</v>
      </c>
      <c r="W102">
        <v>2023</v>
      </c>
    </row>
    <row r="103" spans="1:23" x14ac:dyDescent="0.35">
      <c r="A103" s="113">
        <v>0</v>
      </c>
      <c r="B103">
        <v>5</v>
      </c>
      <c r="C103">
        <v>1</v>
      </c>
      <c r="D103">
        <v>8</v>
      </c>
      <c r="E103">
        <v>9</v>
      </c>
      <c r="F103">
        <v>8</v>
      </c>
      <c r="G103">
        <v>7</v>
      </c>
      <c r="I103" s="2">
        <v>0</v>
      </c>
      <c r="J103" s="6">
        <v>5.4945054945054944E-2</v>
      </c>
      <c r="K103" s="6">
        <v>1.3513513513513514E-2</v>
      </c>
      <c r="L103" s="6">
        <v>8.3333333333333329E-2</v>
      </c>
      <c r="M103" s="6">
        <v>9.7826086956521743E-2</v>
      </c>
      <c r="N103" s="6">
        <v>9.6385542168674704E-2</v>
      </c>
      <c r="O103" s="6">
        <v>8.8607594936708861E-2</v>
      </c>
      <c r="P103" s="6"/>
      <c r="Q103" s="2">
        <v>0</v>
      </c>
      <c r="R103">
        <v>0</v>
      </c>
      <c r="S103">
        <v>0</v>
      </c>
      <c r="T103">
        <v>0</v>
      </c>
      <c r="U103">
        <v>0</v>
      </c>
      <c r="V103">
        <v>0</v>
      </c>
      <c r="W103">
        <v>0</v>
      </c>
    </row>
    <row r="104" spans="1:23" x14ac:dyDescent="0.35">
      <c r="A104" s="113">
        <v>3.33</v>
      </c>
      <c r="B104">
        <v>3</v>
      </c>
      <c r="C104">
        <v>5</v>
      </c>
      <c r="D104">
        <v>4</v>
      </c>
      <c r="E104">
        <v>3</v>
      </c>
      <c r="F104">
        <v>5</v>
      </c>
      <c r="G104">
        <v>6</v>
      </c>
      <c r="I104" s="2">
        <v>3.33</v>
      </c>
      <c r="J104" s="6">
        <v>3.2967032967032968E-2</v>
      </c>
      <c r="K104" s="6">
        <v>6.7567567567567571E-2</v>
      </c>
      <c r="L104" s="6">
        <v>4.1666666666666664E-2</v>
      </c>
      <c r="M104" s="6">
        <v>3.2608695652173912E-2</v>
      </c>
      <c r="N104" s="6">
        <v>6.0240963855421686E-2</v>
      </c>
      <c r="O104" s="6">
        <v>7.5949367088607597E-2</v>
      </c>
      <c r="P104" s="6"/>
      <c r="Q104" s="2">
        <v>3.33</v>
      </c>
      <c r="R104">
        <v>3.33</v>
      </c>
      <c r="S104">
        <v>3.3299999999999996</v>
      </c>
      <c r="T104">
        <v>3.33</v>
      </c>
      <c r="U104">
        <v>3.33</v>
      </c>
      <c r="V104">
        <v>3.3299999999999996</v>
      </c>
      <c r="W104">
        <v>3.3299999999999996</v>
      </c>
    </row>
    <row r="105" spans="1:23" x14ac:dyDescent="0.35">
      <c r="A105" s="113">
        <v>6.67</v>
      </c>
      <c r="B105">
        <v>23</v>
      </c>
      <c r="C105">
        <v>14</v>
      </c>
      <c r="D105">
        <v>24</v>
      </c>
      <c r="E105">
        <v>19</v>
      </c>
      <c r="F105">
        <v>17</v>
      </c>
      <c r="G105">
        <v>18</v>
      </c>
      <c r="I105" s="2">
        <v>6.67</v>
      </c>
      <c r="J105" s="6">
        <v>0.25274725274725274</v>
      </c>
      <c r="K105" s="6">
        <v>0.1891891891891892</v>
      </c>
      <c r="L105" s="6">
        <v>0.25</v>
      </c>
      <c r="M105" s="6">
        <v>0.20652173913043478</v>
      </c>
      <c r="N105" s="6">
        <v>0.20481927710843373</v>
      </c>
      <c r="O105" s="6">
        <v>0.22784810126582278</v>
      </c>
      <c r="P105" s="6"/>
      <c r="Q105" s="2">
        <v>6.67</v>
      </c>
      <c r="R105">
        <v>6.669999999999999</v>
      </c>
      <c r="S105">
        <v>6.6700000000000008</v>
      </c>
      <c r="T105">
        <v>6.6699999999999982</v>
      </c>
      <c r="U105">
        <v>6.6700000000000008</v>
      </c>
      <c r="V105">
        <v>6.6700000000000008</v>
      </c>
      <c r="W105">
        <v>6.6700000000000008</v>
      </c>
    </row>
    <row r="106" spans="1:23" x14ac:dyDescent="0.35">
      <c r="A106" s="113">
        <v>10</v>
      </c>
      <c r="B106">
        <v>45</v>
      </c>
      <c r="C106">
        <v>48</v>
      </c>
      <c r="D106">
        <v>50</v>
      </c>
      <c r="E106">
        <v>53</v>
      </c>
      <c r="F106">
        <v>53</v>
      </c>
      <c r="G106">
        <v>48</v>
      </c>
      <c r="I106" s="2">
        <v>10</v>
      </c>
      <c r="J106" s="6">
        <v>0.49450549450549453</v>
      </c>
      <c r="K106" s="6">
        <v>0.64864864864864868</v>
      </c>
      <c r="L106" s="6">
        <v>0.52083333333333337</v>
      </c>
      <c r="M106" s="6">
        <v>0.57608695652173914</v>
      </c>
      <c r="N106" s="6">
        <v>0.63855421686746983</v>
      </c>
      <c r="O106" s="6">
        <v>0.60759493670886078</v>
      </c>
      <c r="P106" s="6"/>
      <c r="Q106" s="2">
        <v>10</v>
      </c>
      <c r="R106">
        <v>10</v>
      </c>
      <c r="S106">
        <v>10</v>
      </c>
      <c r="T106">
        <v>10</v>
      </c>
      <c r="U106">
        <v>10</v>
      </c>
      <c r="V106">
        <v>10</v>
      </c>
      <c r="W106">
        <v>10</v>
      </c>
    </row>
    <row r="107" spans="1:23" x14ac:dyDescent="0.35">
      <c r="A107" s="113" t="s">
        <v>128</v>
      </c>
      <c r="B107">
        <v>15</v>
      </c>
      <c r="C107">
        <v>6</v>
      </c>
      <c r="D107">
        <v>10</v>
      </c>
      <c r="I107" s="2" t="s">
        <v>128</v>
      </c>
      <c r="J107" s="6">
        <v>0.16483516483516483</v>
      </c>
      <c r="K107" s="6">
        <v>8.1081081081081086E-2</v>
      </c>
      <c r="L107" s="6">
        <v>0.10416666666666667</v>
      </c>
      <c r="M107" s="6">
        <v>0</v>
      </c>
      <c r="N107" s="6">
        <v>0</v>
      </c>
      <c r="O107" s="6">
        <v>0</v>
      </c>
      <c r="P107" s="6"/>
      <c r="Q107" s="2" t="s">
        <v>128</v>
      </c>
      <c r="R107" t="e">
        <v>#DIV/0!</v>
      </c>
      <c r="S107" t="e">
        <v>#DIV/0!</v>
      </c>
      <c r="T107" t="e">
        <v>#DIV/0!</v>
      </c>
    </row>
    <row r="108" spans="1:23" x14ac:dyDescent="0.35">
      <c r="A108" s="113" t="s">
        <v>77</v>
      </c>
      <c r="I108" s="2" t="s">
        <v>77</v>
      </c>
      <c r="J108" s="6">
        <v>0</v>
      </c>
      <c r="K108" s="6">
        <v>0</v>
      </c>
      <c r="L108" s="6">
        <v>0</v>
      </c>
      <c r="M108" s="6">
        <v>0</v>
      </c>
      <c r="N108" s="6">
        <v>0</v>
      </c>
      <c r="O108" s="6">
        <v>0</v>
      </c>
      <c r="P108" s="6"/>
      <c r="Q108" s="2" t="s">
        <v>77</v>
      </c>
    </row>
    <row r="109" spans="1:23" x14ac:dyDescent="0.35">
      <c r="A109" s="113" t="s">
        <v>17</v>
      </c>
      <c r="E109">
        <v>8</v>
      </c>
      <c r="I109" s="2" t="s">
        <v>17</v>
      </c>
      <c r="J109" s="6">
        <v>0</v>
      </c>
      <c r="K109" s="6">
        <v>0</v>
      </c>
      <c r="L109" s="6">
        <v>0</v>
      </c>
      <c r="M109" s="6">
        <v>8.6956521739130432E-2</v>
      </c>
      <c r="N109" s="6">
        <v>0</v>
      </c>
      <c r="O109" s="6">
        <v>0</v>
      </c>
      <c r="P109" s="6"/>
      <c r="Q109" s="2" t="s">
        <v>17</v>
      </c>
      <c r="U109" t="e">
        <v>#DIV/0!</v>
      </c>
    </row>
    <row r="110" spans="1:23" x14ac:dyDescent="0.35">
      <c r="A110" s="113" t="s">
        <v>1</v>
      </c>
      <c r="B110">
        <v>91</v>
      </c>
      <c r="C110">
        <v>74</v>
      </c>
      <c r="D110">
        <v>96</v>
      </c>
      <c r="E110">
        <v>92</v>
      </c>
      <c r="F110">
        <v>83</v>
      </c>
      <c r="G110">
        <v>79</v>
      </c>
      <c r="I110" s="2" t="s">
        <v>1</v>
      </c>
      <c r="J110" s="6">
        <v>1</v>
      </c>
      <c r="K110" s="6">
        <v>1</v>
      </c>
      <c r="L110" s="6">
        <v>1</v>
      </c>
      <c r="M110" s="6">
        <v>1</v>
      </c>
      <c r="N110" s="6">
        <v>1</v>
      </c>
      <c r="O110" s="6">
        <v>1</v>
      </c>
      <c r="P110" s="6"/>
      <c r="Q110" s="2" t="s">
        <v>1</v>
      </c>
      <c r="R110">
        <v>8.0710526315789473</v>
      </c>
      <c r="S110">
        <v>8.6769117647058813</v>
      </c>
      <c r="T110">
        <v>7.8302325581395342</v>
      </c>
      <c r="U110">
        <v>7.9371428571428577</v>
      </c>
      <c r="V110">
        <v>7.9522891566265059</v>
      </c>
      <c r="W110">
        <v>7.8486075949367082</v>
      </c>
    </row>
    <row r="112" spans="1:23" ht="24" x14ac:dyDescent="0.35">
      <c r="A112" s="114" t="s">
        <v>55</v>
      </c>
    </row>
    <row r="113" spans="1:23" ht="29" x14ac:dyDescent="0.35">
      <c r="A113" s="112" t="s">
        <v>78</v>
      </c>
      <c r="B113" s="1" t="s">
        <v>130</v>
      </c>
      <c r="I113" s="1" t="s">
        <v>78</v>
      </c>
      <c r="J113" s="1" t="s">
        <v>130</v>
      </c>
      <c r="Q113" s="1" t="s">
        <v>79</v>
      </c>
      <c r="R113" s="1" t="s">
        <v>130</v>
      </c>
    </row>
    <row r="114" spans="1:23" x14ac:dyDescent="0.35">
      <c r="A114" s="112" t="s">
        <v>129</v>
      </c>
      <c r="B114">
        <v>2018</v>
      </c>
      <c r="C114">
        <v>2019</v>
      </c>
      <c r="D114">
        <v>2020</v>
      </c>
      <c r="E114">
        <v>2021</v>
      </c>
      <c r="F114">
        <v>2022</v>
      </c>
      <c r="G114">
        <v>2023</v>
      </c>
      <c r="I114" s="1" t="s">
        <v>129</v>
      </c>
      <c r="J114">
        <v>2018</v>
      </c>
      <c r="K114">
        <v>2019</v>
      </c>
      <c r="L114">
        <v>2020</v>
      </c>
      <c r="M114">
        <v>2021</v>
      </c>
      <c r="N114">
        <v>2022</v>
      </c>
      <c r="O114">
        <v>2023</v>
      </c>
      <c r="Q114" s="1" t="s">
        <v>129</v>
      </c>
      <c r="R114">
        <v>2018</v>
      </c>
      <c r="S114">
        <v>2019</v>
      </c>
      <c r="T114">
        <v>2020</v>
      </c>
      <c r="U114">
        <v>2021</v>
      </c>
      <c r="V114">
        <v>2022</v>
      </c>
      <c r="W114">
        <v>2023</v>
      </c>
    </row>
    <row r="115" spans="1:23" x14ac:dyDescent="0.35">
      <c r="A115" s="113">
        <v>0</v>
      </c>
      <c r="C115">
        <v>2</v>
      </c>
      <c r="D115">
        <v>2</v>
      </c>
      <c r="E115">
        <v>2</v>
      </c>
      <c r="G115">
        <v>1</v>
      </c>
      <c r="I115" s="2">
        <v>0</v>
      </c>
      <c r="J115" s="6" t="e">
        <v>#DIV/0!</v>
      </c>
      <c r="K115" s="6">
        <v>2.6666666666666668E-2</v>
      </c>
      <c r="L115" s="6">
        <v>2.0618556701030927E-2</v>
      </c>
      <c r="M115" s="6">
        <v>2.1505376344086023E-2</v>
      </c>
      <c r="N115" s="6">
        <v>0</v>
      </c>
      <c r="O115" s="6">
        <v>1.1764705882352941E-2</v>
      </c>
      <c r="P115" s="6"/>
      <c r="Q115" s="2">
        <v>0</v>
      </c>
      <c r="S115">
        <v>0</v>
      </c>
      <c r="T115">
        <v>0</v>
      </c>
      <c r="U115">
        <v>0</v>
      </c>
      <c r="W115">
        <v>0</v>
      </c>
    </row>
    <row r="116" spans="1:23" x14ac:dyDescent="0.35">
      <c r="A116" s="113">
        <v>3.33</v>
      </c>
      <c r="C116">
        <v>1</v>
      </c>
      <c r="D116">
        <v>5</v>
      </c>
      <c r="E116">
        <v>2</v>
      </c>
      <c r="G116">
        <v>3</v>
      </c>
      <c r="I116" s="2">
        <v>3.33</v>
      </c>
      <c r="J116" s="6" t="e">
        <v>#DIV/0!</v>
      </c>
      <c r="K116" s="6">
        <v>1.3333333333333334E-2</v>
      </c>
      <c r="L116" s="6">
        <v>5.1546391752577317E-2</v>
      </c>
      <c r="M116" s="6">
        <v>2.1505376344086023E-2</v>
      </c>
      <c r="N116" s="6">
        <v>0</v>
      </c>
      <c r="O116" s="6">
        <v>3.5294117647058823E-2</v>
      </c>
      <c r="P116" s="6"/>
      <c r="Q116" s="2">
        <v>3.33</v>
      </c>
      <c r="S116">
        <v>3.33</v>
      </c>
      <c r="T116">
        <v>3.3299999999999996</v>
      </c>
      <c r="U116">
        <v>3.33</v>
      </c>
      <c r="W116">
        <v>3.33</v>
      </c>
    </row>
    <row r="117" spans="1:23" x14ac:dyDescent="0.35">
      <c r="A117" s="113">
        <v>6.67</v>
      </c>
      <c r="C117">
        <v>20</v>
      </c>
      <c r="D117">
        <v>37</v>
      </c>
      <c r="E117">
        <v>28</v>
      </c>
      <c r="F117">
        <v>25</v>
      </c>
      <c r="G117">
        <v>21</v>
      </c>
      <c r="I117" s="2">
        <v>6.67</v>
      </c>
      <c r="J117" s="6" t="e">
        <v>#DIV/0!</v>
      </c>
      <c r="K117" s="6">
        <v>0.26666666666666666</v>
      </c>
      <c r="L117" s="6">
        <v>0.38144329896907214</v>
      </c>
      <c r="M117" s="6">
        <v>0.30107526881720431</v>
      </c>
      <c r="N117" s="6">
        <v>0.26595744680851063</v>
      </c>
      <c r="O117" s="6">
        <v>0.24705882352941178</v>
      </c>
      <c r="P117" s="6"/>
      <c r="Q117" s="2">
        <v>6.67</v>
      </c>
      <c r="S117">
        <v>6.67</v>
      </c>
      <c r="T117">
        <v>6.6699999999999946</v>
      </c>
      <c r="U117">
        <v>6.6699999999999964</v>
      </c>
      <c r="V117">
        <v>6.6699999999999982</v>
      </c>
      <c r="W117">
        <v>6.67</v>
      </c>
    </row>
    <row r="118" spans="1:23" x14ac:dyDescent="0.35">
      <c r="A118" s="113">
        <v>10</v>
      </c>
      <c r="C118">
        <v>47</v>
      </c>
      <c r="D118">
        <v>50</v>
      </c>
      <c r="E118">
        <v>54</v>
      </c>
      <c r="F118">
        <v>69</v>
      </c>
      <c r="G118">
        <v>60</v>
      </c>
      <c r="I118" s="2">
        <v>10</v>
      </c>
      <c r="J118" s="6" t="e">
        <v>#DIV/0!</v>
      </c>
      <c r="K118" s="6">
        <v>0.62666666666666671</v>
      </c>
      <c r="L118" s="6">
        <v>0.51546391752577314</v>
      </c>
      <c r="M118" s="6">
        <v>0.58064516129032262</v>
      </c>
      <c r="N118" s="6">
        <v>0.73404255319148937</v>
      </c>
      <c r="O118" s="6">
        <v>0.70588235294117652</v>
      </c>
      <c r="P118" s="6"/>
      <c r="Q118" s="2">
        <v>10</v>
      </c>
      <c r="S118">
        <v>10</v>
      </c>
      <c r="T118">
        <v>10</v>
      </c>
      <c r="U118">
        <v>10</v>
      </c>
      <c r="V118">
        <v>10</v>
      </c>
      <c r="W118">
        <v>10</v>
      </c>
    </row>
    <row r="119" spans="1:23" x14ac:dyDescent="0.35">
      <c r="A119" s="113" t="s">
        <v>128</v>
      </c>
      <c r="C119">
        <v>5</v>
      </c>
      <c r="D119">
        <v>3</v>
      </c>
      <c r="I119" s="2" t="s">
        <v>128</v>
      </c>
      <c r="J119" s="6" t="e">
        <v>#DIV/0!</v>
      </c>
      <c r="K119" s="6">
        <v>6.6666666666666666E-2</v>
      </c>
      <c r="L119" s="6">
        <v>3.0927835051546393E-2</v>
      </c>
      <c r="M119" s="6">
        <v>0</v>
      </c>
      <c r="N119" s="6">
        <v>0</v>
      </c>
      <c r="O119" s="6">
        <v>0</v>
      </c>
      <c r="P119" s="6"/>
      <c r="Q119" s="2" t="s">
        <v>128</v>
      </c>
      <c r="S119" t="e">
        <v>#DIV/0!</v>
      </c>
      <c r="T119" t="e">
        <v>#DIV/0!</v>
      </c>
    </row>
    <row r="120" spans="1:23" x14ac:dyDescent="0.35">
      <c r="A120" s="113" t="s">
        <v>77</v>
      </c>
      <c r="I120" s="2" t="s">
        <v>77</v>
      </c>
      <c r="J120" s="6" t="e">
        <v>#DIV/0!</v>
      </c>
      <c r="K120" s="6">
        <v>0</v>
      </c>
      <c r="L120" s="6">
        <v>0</v>
      </c>
      <c r="M120" s="6">
        <v>0</v>
      </c>
      <c r="N120" s="6">
        <v>0</v>
      </c>
      <c r="O120" s="6">
        <v>0</v>
      </c>
      <c r="P120" s="6"/>
      <c r="Q120" s="2" t="s">
        <v>77</v>
      </c>
    </row>
    <row r="121" spans="1:23" x14ac:dyDescent="0.35">
      <c r="A121" s="113" t="s">
        <v>17</v>
      </c>
      <c r="E121">
        <v>7</v>
      </c>
      <c r="I121" s="2" t="s">
        <v>17</v>
      </c>
      <c r="J121" s="6" t="e">
        <v>#DIV/0!</v>
      </c>
      <c r="K121" s="6">
        <v>0</v>
      </c>
      <c r="L121" s="6">
        <v>0</v>
      </c>
      <c r="M121" s="6">
        <v>7.5268817204301078E-2</v>
      </c>
      <c r="N121" s="6">
        <v>0</v>
      </c>
      <c r="O121" s="6">
        <v>0</v>
      </c>
      <c r="P121" s="6"/>
      <c r="Q121" s="2" t="s">
        <v>17</v>
      </c>
      <c r="U121" t="e">
        <v>#DIV/0!</v>
      </c>
    </row>
    <row r="122" spans="1:23" x14ac:dyDescent="0.35">
      <c r="A122" s="113" t="s">
        <v>1</v>
      </c>
      <c r="C122">
        <v>75</v>
      </c>
      <c r="D122">
        <v>97</v>
      </c>
      <c r="E122">
        <v>93</v>
      </c>
      <c r="F122">
        <v>94</v>
      </c>
      <c r="G122">
        <v>85</v>
      </c>
      <c r="I122" s="2" t="s">
        <v>1</v>
      </c>
      <c r="J122" s="6" t="e">
        <v>#DIV/0!</v>
      </c>
      <c r="K122" s="6">
        <v>1</v>
      </c>
      <c r="L122" s="6">
        <v>1</v>
      </c>
      <c r="M122" s="6">
        <v>1</v>
      </c>
      <c r="N122" s="6">
        <v>1</v>
      </c>
      <c r="O122" s="6">
        <v>1</v>
      </c>
      <c r="P122" s="6"/>
      <c r="Q122" s="2" t="s">
        <v>1</v>
      </c>
      <c r="S122">
        <v>8.6675714285714296</v>
      </c>
      <c r="T122">
        <v>8.1217021276595727</v>
      </c>
      <c r="U122">
        <v>8.528139534883719</v>
      </c>
      <c r="V122">
        <v>9.1143617021276597</v>
      </c>
      <c r="W122">
        <v>8.8242352941176456</v>
      </c>
    </row>
    <row r="125" spans="1:23" ht="43.5" x14ac:dyDescent="0.35">
      <c r="A125" s="112" t="s">
        <v>80</v>
      </c>
      <c r="B125" s="1" t="s">
        <v>130</v>
      </c>
      <c r="I125" s="1" t="s">
        <v>80</v>
      </c>
      <c r="J125" s="1" t="s">
        <v>130</v>
      </c>
      <c r="Q125" s="1" t="s">
        <v>81</v>
      </c>
      <c r="R125" s="1" t="s">
        <v>130</v>
      </c>
    </row>
    <row r="126" spans="1:23" x14ac:dyDescent="0.35">
      <c r="A126" s="112" t="s">
        <v>129</v>
      </c>
      <c r="B126">
        <v>2018</v>
      </c>
      <c r="C126">
        <v>2019</v>
      </c>
      <c r="D126">
        <v>2020</v>
      </c>
      <c r="E126">
        <v>2021</v>
      </c>
      <c r="F126">
        <v>2022</v>
      </c>
      <c r="G126">
        <v>2023</v>
      </c>
      <c r="I126" s="1" t="s">
        <v>129</v>
      </c>
      <c r="J126">
        <v>2018</v>
      </c>
      <c r="K126">
        <v>2019</v>
      </c>
      <c r="L126">
        <v>2020</v>
      </c>
      <c r="M126">
        <v>2021</v>
      </c>
      <c r="N126">
        <v>2022</v>
      </c>
      <c r="O126">
        <v>2023</v>
      </c>
      <c r="Q126" s="1" t="s">
        <v>129</v>
      </c>
      <c r="R126">
        <v>2018</v>
      </c>
      <c r="S126">
        <v>2019</v>
      </c>
      <c r="T126">
        <v>2020</v>
      </c>
      <c r="U126">
        <v>2021</v>
      </c>
      <c r="V126">
        <v>2022</v>
      </c>
      <c r="W126">
        <v>2023</v>
      </c>
    </row>
    <row r="127" spans="1:23" x14ac:dyDescent="0.35">
      <c r="A127" s="113">
        <v>0</v>
      </c>
      <c r="C127">
        <v>1</v>
      </c>
      <c r="D127">
        <v>2</v>
      </c>
      <c r="E127">
        <v>4</v>
      </c>
      <c r="G127">
        <v>3</v>
      </c>
      <c r="I127" s="2">
        <v>0</v>
      </c>
      <c r="J127" s="6" t="e">
        <v>#DIV/0!</v>
      </c>
      <c r="K127" s="6">
        <v>1.2658227848101266E-2</v>
      </c>
      <c r="L127" s="6">
        <v>2.1052631578947368E-2</v>
      </c>
      <c r="M127" s="6">
        <v>4.2553191489361701E-2</v>
      </c>
      <c r="N127" s="6">
        <v>0</v>
      </c>
      <c r="O127" s="6">
        <v>3.4883720930232558E-2</v>
      </c>
      <c r="P127" s="6"/>
      <c r="Q127" s="2">
        <v>0</v>
      </c>
      <c r="S127">
        <v>0</v>
      </c>
      <c r="T127">
        <v>0</v>
      </c>
      <c r="U127">
        <v>0</v>
      </c>
      <c r="W127">
        <v>0</v>
      </c>
    </row>
    <row r="128" spans="1:23" x14ac:dyDescent="0.35">
      <c r="A128" s="113">
        <v>3.33</v>
      </c>
      <c r="C128">
        <v>1</v>
      </c>
      <c r="D128">
        <v>1</v>
      </c>
      <c r="E128">
        <v>3</v>
      </c>
      <c r="F128">
        <v>2</v>
      </c>
      <c r="G128">
        <v>1</v>
      </c>
      <c r="I128" s="2">
        <v>3.33</v>
      </c>
      <c r="J128" s="6" t="e">
        <v>#DIV/0!</v>
      </c>
      <c r="K128" s="6">
        <v>1.2658227848101266E-2</v>
      </c>
      <c r="L128" s="6">
        <v>1.0526315789473684E-2</v>
      </c>
      <c r="M128" s="6">
        <v>3.1914893617021274E-2</v>
      </c>
      <c r="N128" s="6">
        <v>2.2222222222222223E-2</v>
      </c>
      <c r="O128" s="6">
        <v>1.1627906976744186E-2</v>
      </c>
      <c r="P128" s="6"/>
      <c r="Q128" s="2">
        <v>3.33</v>
      </c>
      <c r="S128">
        <v>3.33</v>
      </c>
      <c r="T128">
        <v>3.33</v>
      </c>
      <c r="U128">
        <v>3.33</v>
      </c>
      <c r="V128">
        <v>3.33</v>
      </c>
      <c r="W128">
        <v>3.33</v>
      </c>
    </row>
    <row r="129" spans="1:23" x14ac:dyDescent="0.35">
      <c r="A129" s="113">
        <v>6.67</v>
      </c>
      <c r="C129">
        <v>25</v>
      </c>
      <c r="D129">
        <v>28</v>
      </c>
      <c r="E129">
        <v>30</v>
      </c>
      <c r="F129">
        <v>26</v>
      </c>
      <c r="G129">
        <v>24</v>
      </c>
      <c r="I129" s="2">
        <v>6.67</v>
      </c>
      <c r="J129" s="6" t="e">
        <v>#DIV/0!</v>
      </c>
      <c r="K129" s="6">
        <v>0.31645569620253167</v>
      </c>
      <c r="L129" s="6">
        <v>0.29473684210526313</v>
      </c>
      <c r="M129" s="6">
        <v>0.31914893617021278</v>
      </c>
      <c r="N129" s="6">
        <v>0.28888888888888886</v>
      </c>
      <c r="O129" s="6">
        <v>0.27906976744186046</v>
      </c>
      <c r="P129" s="6"/>
      <c r="Q129" s="2">
        <v>6.67</v>
      </c>
      <c r="S129">
        <v>6.6699999999999982</v>
      </c>
      <c r="T129">
        <v>6.6699999999999964</v>
      </c>
      <c r="U129">
        <v>6.6699999999999964</v>
      </c>
      <c r="V129">
        <v>6.6699999999999973</v>
      </c>
      <c r="W129">
        <v>6.6699999999999982</v>
      </c>
    </row>
    <row r="130" spans="1:23" x14ac:dyDescent="0.35">
      <c r="A130" s="113">
        <v>10</v>
      </c>
      <c r="C130">
        <v>50</v>
      </c>
      <c r="D130">
        <v>54</v>
      </c>
      <c r="E130">
        <v>50</v>
      </c>
      <c r="F130">
        <v>62</v>
      </c>
      <c r="G130">
        <v>58</v>
      </c>
      <c r="I130" s="2">
        <v>10</v>
      </c>
      <c r="J130" s="6" t="e">
        <v>#DIV/0!</v>
      </c>
      <c r="K130" s="6">
        <v>0.63291139240506333</v>
      </c>
      <c r="L130" s="6">
        <v>0.56842105263157894</v>
      </c>
      <c r="M130" s="6">
        <v>0.53191489361702127</v>
      </c>
      <c r="N130" s="6">
        <v>0.68888888888888888</v>
      </c>
      <c r="O130" s="6">
        <v>0.67441860465116277</v>
      </c>
      <c r="P130" s="6"/>
      <c r="Q130" s="2">
        <v>10</v>
      </c>
      <c r="S130">
        <v>10</v>
      </c>
      <c r="T130">
        <v>10</v>
      </c>
      <c r="U130">
        <v>10</v>
      </c>
      <c r="V130">
        <v>10</v>
      </c>
      <c r="W130">
        <v>10</v>
      </c>
    </row>
    <row r="131" spans="1:23" x14ac:dyDescent="0.35">
      <c r="A131" s="113" t="s">
        <v>128</v>
      </c>
      <c r="C131">
        <v>2</v>
      </c>
      <c r="D131">
        <v>10</v>
      </c>
      <c r="I131" s="2" t="s">
        <v>128</v>
      </c>
      <c r="J131" s="6" t="e">
        <v>#DIV/0!</v>
      </c>
      <c r="K131" s="6">
        <v>2.5316455696202531E-2</v>
      </c>
      <c r="L131" s="6">
        <v>0.10526315789473684</v>
      </c>
      <c r="M131" s="6">
        <v>0</v>
      </c>
      <c r="N131" s="6">
        <v>0</v>
      </c>
      <c r="O131" s="6">
        <v>0</v>
      </c>
      <c r="P131" s="6"/>
      <c r="Q131" s="2" t="s">
        <v>128</v>
      </c>
      <c r="S131" t="e">
        <v>#DIV/0!</v>
      </c>
      <c r="T131" t="e">
        <v>#DIV/0!</v>
      </c>
    </row>
    <row r="132" spans="1:23" x14ac:dyDescent="0.35">
      <c r="A132" s="113" t="s">
        <v>77</v>
      </c>
      <c r="I132" s="2" t="s">
        <v>77</v>
      </c>
      <c r="J132" s="6" t="e">
        <v>#DIV/0!</v>
      </c>
      <c r="K132" s="6">
        <v>0</v>
      </c>
      <c r="L132" s="6">
        <v>0</v>
      </c>
      <c r="M132" s="6">
        <v>0</v>
      </c>
      <c r="N132" s="6">
        <v>0</v>
      </c>
      <c r="O132" s="6">
        <v>0</v>
      </c>
      <c r="P132" s="6"/>
      <c r="Q132" s="2" t="s">
        <v>77</v>
      </c>
    </row>
    <row r="133" spans="1:23" x14ac:dyDescent="0.35">
      <c r="A133" s="113" t="s">
        <v>17</v>
      </c>
      <c r="E133">
        <v>7</v>
      </c>
      <c r="I133" s="2" t="s">
        <v>17</v>
      </c>
      <c r="J133" s="6" t="e">
        <v>#DIV/0!</v>
      </c>
      <c r="K133" s="6">
        <v>0</v>
      </c>
      <c r="L133" s="6">
        <v>0</v>
      </c>
      <c r="M133" s="6">
        <v>7.4468085106382975E-2</v>
      </c>
      <c r="N133" s="6">
        <v>0</v>
      </c>
      <c r="O133" s="6">
        <v>0</v>
      </c>
      <c r="P133" s="6"/>
      <c r="Q133" s="2" t="s">
        <v>17</v>
      </c>
      <c r="U133" t="e">
        <v>#DIV/0!</v>
      </c>
    </row>
    <row r="134" spans="1:23" x14ac:dyDescent="0.35">
      <c r="A134" s="113" t="s">
        <v>1</v>
      </c>
      <c r="C134">
        <v>79</v>
      </c>
      <c r="D134">
        <v>95</v>
      </c>
      <c r="E134">
        <v>94</v>
      </c>
      <c r="F134">
        <v>90</v>
      </c>
      <c r="G134">
        <v>86</v>
      </c>
      <c r="I134" s="2" t="s">
        <v>1</v>
      </c>
      <c r="J134" s="6" t="e">
        <v>#DIV/0!</v>
      </c>
      <c r="K134" s="6">
        <v>1</v>
      </c>
      <c r="L134" s="6">
        <v>1</v>
      </c>
      <c r="M134" s="6">
        <v>1</v>
      </c>
      <c r="N134" s="6">
        <v>1</v>
      </c>
      <c r="O134" s="6">
        <v>1</v>
      </c>
      <c r="P134" s="6"/>
      <c r="Q134" s="2" t="s">
        <v>1</v>
      </c>
      <c r="S134">
        <v>8.702337662337662</v>
      </c>
      <c r="T134">
        <v>8.5892941176470572</v>
      </c>
      <c r="U134">
        <v>8.161954022988505</v>
      </c>
      <c r="V134">
        <v>8.8897777777777769</v>
      </c>
      <c r="W134">
        <v>8.6443023255813944</v>
      </c>
    </row>
    <row r="137" spans="1:23" ht="29" x14ac:dyDescent="0.35">
      <c r="A137" s="112" t="s">
        <v>84</v>
      </c>
      <c r="B137" s="1" t="s">
        <v>130</v>
      </c>
      <c r="I137" s="1" t="s">
        <v>84</v>
      </c>
      <c r="J137" s="1" t="s">
        <v>130</v>
      </c>
      <c r="Q137" s="1" t="s">
        <v>85</v>
      </c>
      <c r="R137" s="1" t="s">
        <v>130</v>
      </c>
    </row>
    <row r="138" spans="1:23" x14ac:dyDescent="0.35">
      <c r="A138" s="112" t="s">
        <v>129</v>
      </c>
      <c r="B138">
        <v>2018</v>
      </c>
      <c r="C138">
        <v>2019</v>
      </c>
      <c r="D138">
        <v>2020</v>
      </c>
      <c r="E138">
        <v>2021</v>
      </c>
      <c r="F138">
        <v>2022</v>
      </c>
      <c r="G138">
        <v>2023</v>
      </c>
      <c r="I138" s="1" t="s">
        <v>129</v>
      </c>
      <c r="J138">
        <v>2018</v>
      </c>
      <c r="K138">
        <v>2019</v>
      </c>
      <c r="L138">
        <v>2020</v>
      </c>
      <c r="M138">
        <v>2021</v>
      </c>
      <c r="N138">
        <v>2022</v>
      </c>
      <c r="O138">
        <v>2023</v>
      </c>
      <c r="Q138" s="1" t="s">
        <v>129</v>
      </c>
      <c r="R138">
        <v>2018</v>
      </c>
      <c r="S138">
        <v>2019</v>
      </c>
      <c r="T138">
        <v>2020</v>
      </c>
      <c r="U138">
        <v>2021</v>
      </c>
      <c r="V138">
        <v>2022</v>
      </c>
      <c r="W138">
        <v>2023</v>
      </c>
    </row>
    <row r="139" spans="1:23" x14ac:dyDescent="0.35">
      <c r="A139" s="113">
        <v>0</v>
      </c>
      <c r="D139">
        <v>1</v>
      </c>
      <c r="E139">
        <v>1</v>
      </c>
      <c r="F139">
        <v>1</v>
      </c>
      <c r="G139">
        <v>2</v>
      </c>
      <c r="I139" s="2">
        <v>0</v>
      </c>
      <c r="J139" s="6" t="e">
        <v>#DIV/0!</v>
      </c>
      <c r="K139" s="6">
        <v>0</v>
      </c>
      <c r="L139" s="6">
        <v>1.0416666666666666E-2</v>
      </c>
      <c r="M139" s="6">
        <v>1.0752688172043012E-2</v>
      </c>
      <c r="N139" s="6">
        <v>1.0752688172043012E-2</v>
      </c>
      <c r="O139" s="6">
        <v>2.3529411764705882E-2</v>
      </c>
      <c r="P139" s="6"/>
      <c r="Q139" s="2">
        <v>0</v>
      </c>
      <c r="T139">
        <v>0</v>
      </c>
      <c r="U139">
        <v>0</v>
      </c>
      <c r="V139">
        <v>0</v>
      </c>
      <c r="W139">
        <v>0</v>
      </c>
    </row>
    <row r="140" spans="1:23" x14ac:dyDescent="0.35">
      <c r="A140" s="113">
        <v>3.33</v>
      </c>
      <c r="C140">
        <v>4</v>
      </c>
      <c r="D140">
        <v>2</v>
      </c>
      <c r="E140">
        <v>5</v>
      </c>
      <c r="F140">
        <v>2</v>
      </c>
      <c r="G140">
        <v>5</v>
      </c>
      <c r="I140" s="2">
        <v>3.33</v>
      </c>
      <c r="J140" s="6" t="e">
        <v>#DIV/0!</v>
      </c>
      <c r="K140" s="6">
        <v>5.0632911392405063E-2</v>
      </c>
      <c r="L140" s="6">
        <v>2.0833333333333332E-2</v>
      </c>
      <c r="M140" s="6">
        <v>5.3763440860215055E-2</v>
      </c>
      <c r="N140" s="6">
        <v>2.1505376344086023E-2</v>
      </c>
      <c r="O140" s="6">
        <v>5.8823529411764705E-2</v>
      </c>
      <c r="P140" s="6"/>
      <c r="Q140" s="2">
        <v>3.33</v>
      </c>
      <c r="S140">
        <v>3.33</v>
      </c>
      <c r="T140">
        <v>3.33</v>
      </c>
      <c r="U140">
        <v>3.3299999999999996</v>
      </c>
      <c r="V140">
        <v>3.33</v>
      </c>
      <c r="W140">
        <v>3.3299999999999996</v>
      </c>
    </row>
    <row r="141" spans="1:23" x14ac:dyDescent="0.35">
      <c r="A141" s="113">
        <v>6.67</v>
      </c>
      <c r="C141">
        <v>23</v>
      </c>
      <c r="D141">
        <v>31</v>
      </c>
      <c r="E141">
        <v>34</v>
      </c>
      <c r="F141">
        <v>29</v>
      </c>
      <c r="G141">
        <v>23</v>
      </c>
      <c r="I141" s="2">
        <v>6.67</v>
      </c>
      <c r="J141" s="6" t="e">
        <v>#DIV/0!</v>
      </c>
      <c r="K141" s="6">
        <v>0.29113924050632911</v>
      </c>
      <c r="L141" s="6">
        <v>0.32291666666666669</v>
      </c>
      <c r="M141" s="6">
        <v>0.36559139784946237</v>
      </c>
      <c r="N141" s="6">
        <v>0.31182795698924731</v>
      </c>
      <c r="O141" s="6">
        <v>0.27058823529411763</v>
      </c>
      <c r="P141" s="6"/>
      <c r="Q141" s="2">
        <v>6.67</v>
      </c>
      <c r="S141">
        <v>6.669999999999999</v>
      </c>
      <c r="T141">
        <v>6.6699999999999955</v>
      </c>
      <c r="U141">
        <v>6.6699999999999946</v>
      </c>
      <c r="V141">
        <v>6.6699999999999964</v>
      </c>
      <c r="W141">
        <v>6.669999999999999</v>
      </c>
    </row>
    <row r="142" spans="1:23" x14ac:dyDescent="0.35">
      <c r="A142" s="113">
        <v>10</v>
      </c>
      <c r="C142">
        <v>47</v>
      </c>
      <c r="D142">
        <v>52</v>
      </c>
      <c r="E142">
        <v>48</v>
      </c>
      <c r="F142">
        <v>61</v>
      </c>
      <c r="G142">
        <v>55</v>
      </c>
      <c r="I142" s="2">
        <v>10</v>
      </c>
      <c r="J142" s="6" t="e">
        <v>#DIV/0!</v>
      </c>
      <c r="K142" s="6">
        <v>0.59493670886075944</v>
      </c>
      <c r="L142" s="6">
        <v>0.54166666666666663</v>
      </c>
      <c r="M142" s="6">
        <v>0.5161290322580645</v>
      </c>
      <c r="N142" s="6">
        <v>0.65591397849462363</v>
      </c>
      <c r="O142" s="6">
        <v>0.6470588235294118</v>
      </c>
      <c r="P142" s="6"/>
      <c r="Q142" s="2">
        <v>10</v>
      </c>
      <c r="S142">
        <v>10</v>
      </c>
      <c r="T142">
        <v>10</v>
      </c>
      <c r="U142">
        <v>10</v>
      </c>
      <c r="V142">
        <v>10</v>
      </c>
      <c r="W142">
        <v>10</v>
      </c>
    </row>
    <row r="143" spans="1:23" x14ac:dyDescent="0.35">
      <c r="A143" s="113" t="s">
        <v>128</v>
      </c>
      <c r="C143">
        <v>5</v>
      </c>
      <c r="D143">
        <v>10</v>
      </c>
      <c r="I143" s="2" t="s">
        <v>128</v>
      </c>
      <c r="J143" s="6" t="e">
        <v>#DIV/0!</v>
      </c>
      <c r="K143" s="6">
        <v>6.3291139240506333E-2</v>
      </c>
      <c r="L143" s="6">
        <v>0.10416666666666667</v>
      </c>
      <c r="M143" s="6">
        <v>0</v>
      </c>
      <c r="N143" s="6">
        <v>0</v>
      </c>
      <c r="O143" s="6">
        <v>0</v>
      </c>
      <c r="P143" s="6"/>
      <c r="Q143" s="2" t="s">
        <v>128</v>
      </c>
      <c r="S143" t="e">
        <v>#DIV/0!</v>
      </c>
      <c r="T143" t="e">
        <v>#DIV/0!</v>
      </c>
    </row>
    <row r="144" spans="1:23" x14ac:dyDescent="0.35">
      <c r="A144" s="113" t="s">
        <v>77</v>
      </c>
      <c r="I144" s="2" t="s">
        <v>77</v>
      </c>
      <c r="J144" s="6" t="e">
        <v>#DIV/0!</v>
      </c>
      <c r="K144" s="6">
        <v>0</v>
      </c>
      <c r="L144" s="6">
        <v>0</v>
      </c>
      <c r="M144" s="6">
        <v>0</v>
      </c>
      <c r="N144" s="6">
        <v>0</v>
      </c>
      <c r="O144" s="6">
        <v>0</v>
      </c>
      <c r="P144" s="6"/>
      <c r="Q144" s="2" t="s">
        <v>77</v>
      </c>
    </row>
    <row r="145" spans="1:23" x14ac:dyDescent="0.35">
      <c r="A145" s="113" t="s">
        <v>17</v>
      </c>
      <c r="E145">
        <v>5</v>
      </c>
      <c r="I145" s="2" t="s">
        <v>17</v>
      </c>
      <c r="J145" s="6" t="e">
        <v>#DIV/0!</v>
      </c>
      <c r="K145" s="6">
        <v>0</v>
      </c>
      <c r="L145" s="6">
        <v>0</v>
      </c>
      <c r="M145" s="6">
        <v>5.3763440860215055E-2</v>
      </c>
      <c r="N145" s="6">
        <v>0</v>
      </c>
      <c r="O145" s="6">
        <v>0</v>
      </c>
      <c r="P145" s="6"/>
      <c r="Q145" s="2" t="s">
        <v>17</v>
      </c>
      <c r="U145" t="e">
        <v>#DIV/0!</v>
      </c>
    </row>
    <row r="146" spans="1:23" x14ac:dyDescent="0.35">
      <c r="A146" s="113" t="s">
        <v>1</v>
      </c>
      <c r="C146">
        <v>79</v>
      </c>
      <c r="D146">
        <v>96</v>
      </c>
      <c r="E146">
        <v>93</v>
      </c>
      <c r="F146">
        <v>93</v>
      </c>
      <c r="G146">
        <v>85</v>
      </c>
      <c r="I146" s="2" t="s">
        <v>1</v>
      </c>
      <c r="J146" s="6" t="e">
        <v>#DIV/0!</v>
      </c>
      <c r="K146" s="6">
        <v>1</v>
      </c>
      <c r="L146" s="6">
        <v>1</v>
      </c>
      <c r="M146" s="6">
        <v>1</v>
      </c>
      <c r="N146" s="6">
        <v>1</v>
      </c>
      <c r="O146" s="6">
        <v>1</v>
      </c>
      <c r="P146" s="6"/>
      <c r="Q146" s="2" t="s">
        <v>1</v>
      </c>
      <c r="S146">
        <v>8.6044594594594592</v>
      </c>
      <c r="T146">
        <v>8.5282558139534856</v>
      </c>
      <c r="U146">
        <v>8.2207954545454527</v>
      </c>
      <c r="V146">
        <v>8.7106451612903211</v>
      </c>
      <c r="W146">
        <v>8.4712941176470586</v>
      </c>
    </row>
    <row r="149" spans="1:23" ht="58" x14ac:dyDescent="0.35">
      <c r="A149" s="112" t="s">
        <v>82</v>
      </c>
      <c r="B149" s="1" t="s">
        <v>130</v>
      </c>
      <c r="I149" s="1" t="s">
        <v>82</v>
      </c>
      <c r="J149" s="1" t="s">
        <v>130</v>
      </c>
      <c r="Q149" s="1" t="s">
        <v>83</v>
      </c>
      <c r="R149" s="1" t="s">
        <v>130</v>
      </c>
    </row>
    <row r="150" spans="1:23" x14ac:dyDescent="0.35">
      <c r="A150" s="112" t="s">
        <v>129</v>
      </c>
      <c r="B150">
        <v>2018</v>
      </c>
      <c r="C150">
        <v>2019</v>
      </c>
      <c r="D150">
        <v>2020</v>
      </c>
      <c r="E150">
        <v>2021</v>
      </c>
      <c r="F150">
        <v>2022</v>
      </c>
      <c r="G150">
        <v>2023</v>
      </c>
      <c r="I150" s="1" t="s">
        <v>129</v>
      </c>
      <c r="J150">
        <v>2018</v>
      </c>
      <c r="K150">
        <v>2019</v>
      </c>
      <c r="L150">
        <v>2020</v>
      </c>
      <c r="M150">
        <v>2021</v>
      </c>
      <c r="N150">
        <v>2022</v>
      </c>
      <c r="O150">
        <v>2023</v>
      </c>
      <c r="Q150" s="1" t="s">
        <v>129</v>
      </c>
      <c r="R150">
        <v>2018</v>
      </c>
      <c r="S150">
        <v>2019</v>
      </c>
      <c r="T150">
        <v>2020</v>
      </c>
      <c r="U150">
        <v>2021</v>
      </c>
      <c r="V150">
        <v>2022</v>
      </c>
      <c r="W150">
        <v>2023</v>
      </c>
    </row>
    <row r="151" spans="1:23" x14ac:dyDescent="0.35">
      <c r="A151" s="113">
        <v>0</v>
      </c>
      <c r="C151">
        <v>2</v>
      </c>
      <c r="E151">
        <v>1</v>
      </c>
      <c r="G151">
        <v>2</v>
      </c>
      <c r="I151" s="2">
        <v>0</v>
      </c>
      <c r="J151" s="6" t="e">
        <v>#DIV/0!</v>
      </c>
      <c r="K151" s="6">
        <v>2.5974025974025976E-2</v>
      </c>
      <c r="L151" s="6">
        <v>0</v>
      </c>
      <c r="M151" s="6">
        <v>1.0752688172043012E-2</v>
      </c>
      <c r="N151" s="6">
        <v>0</v>
      </c>
      <c r="O151" s="6">
        <v>2.3255813953488372E-2</v>
      </c>
      <c r="P151" s="6"/>
      <c r="Q151" s="2">
        <v>0</v>
      </c>
      <c r="S151">
        <v>0</v>
      </c>
      <c r="U151">
        <v>0</v>
      </c>
      <c r="W151">
        <v>0</v>
      </c>
    </row>
    <row r="152" spans="1:23" x14ac:dyDescent="0.35">
      <c r="A152" s="113">
        <v>3.33</v>
      </c>
      <c r="C152">
        <v>2</v>
      </c>
      <c r="D152">
        <v>2</v>
      </c>
      <c r="E152">
        <v>1</v>
      </c>
      <c r="F152">
        <v>2</v>
      </c>
      <c r="G152">
        <v>1</v>
      </c>
      <c r="I152" s="2">
        <v>3.33</v>
      </c>
      <c r="J152" s="6" t="e">
        <v>#DIV/0!</v>
      </c>
      <c r="K152" s="6">
        <v>2.5974025974025976E-2</v>
      </c>
      <c r="L152" s="6">
        <v>2.0833333333333332E-2</v>
      </c>
      <c r="M152" s="6">
        <v>1.0752688172043012E-2</v>
      </c>
      <c r="N152" s="6">
        <v>2.0833333333333332E-2</v>
      </c>
      <c r="O152" s="6">
        <v>1.1627906976744186E-2</v>
      </c>
      <c r="P152" s="6"/>
      <c r="Q152" s="2">
        <v>3.33</v>
      </c>
      <c r="S152">
        <v>3.33</v>
      </c>
      <c r="T152">
        <v>3.33</v>
      </c>
      <c r="U152">
        <v>3.33</v>
      </c>
      <c r="V152">
        <v>3.33</v>
      </c>
      <c r="W152">
        <v>3.33</v>
      </c>
    </row>
    <row r="153" spans="1:23" x14ac:dyDescent="0.35">
      <c r="A153" s="113">
        <v>6.67</v>
      </c>
      <c r="C153">
        <v>23</v>
      </c>
      <c r="D153">
        <v>27</v>
      </c>
      <c r="E153">
        <v>30</v>
      </c>
      <c r="F153">
        <v>16</v>
      </c>
      <c r="G153">
        <v>21</v>
      </c>
      <c r="I153" s="2">
        <v>6.67</v>
      </c>
      <c r="J153" s="6" t="e">
        <v>#DIV/0!</v>
      </c>
      <c r="K153" s="6">
        <v>0.29870129870129869</v>
      </c>
      <c r="L153" s="6">
        <v>0.28125</v>
      </c>
      <c r="M153" s="6">
        <v>0.32258064516129031</v>
      </c>
      <c r="N153" s="6">
        <v>0.16666666666666666</v>
      </c>
      <c r="O153" s="6">
        <v>0.2441860465116279</v>
      </c>
      <c r="P153" s="6"/>
      <c r="Q153" s="2">
        <v>6.67</v>
      </c>
      <c r="S153">
        <v>6.669999999999999</v>
      </c>
      <c r="T153">
        <v>6.6699999999999973</v>
      </c>
      <c r="U153">
        <v>6.6699999999999964</v>
      </c>
      <c r="V153">
        <v>6.6700000000000008</v>
      </c>
      <c r="W153">
        <v>6.67</v>
      </c>
    </row>
    <row r="154" spans="1:23" x14ac:dyDescent="0.35">
      <c r="A154" s="113">
        <v>10</v>
      </c>
      <c r="C154">
        <v>46</v>
      </c>
      <c r="D154">
        <v>60</v>
      </c>
      <c r="E154">
        <v>56</v>
      </c>
      <c r="F154">
        <v>78</v>
      </c>
      <c r="G154">
        <v>62</v>
      </c>
      <c r="I154" s="2">
        <v>10</v>
      </c>
      <c r="J154" s="6" t="e">
        <v>#DIV/0!</v>
      </c>
      <c r="K154" s="6">
        <v>0.59740259740259738</v>
      </c>
      <c r="L154" s="6">
        <v>0.625</v>
      </c>
      <c r="M154" s="6">
        <v>0.60215053763440862</v>
      </c>
      <c r="N154" s="6">
        <v>0.8125</v>
      </c>
      <c r="O154" s="6">
        <v>0.72093023255813948</v>
      </c>
      <c r="P154" s="6"/>
      <c r="Q154" s="2">
        <v>10</v>
      </c>
      <c r="S154">
        <v>10</v>
      </c>
      <c r="T154">
        <v>10</v>
      </c>
      <c r="U154">
        <v>10</v>
      </c>
      <c r="V154">
        <v>10</v>
      </c>
      <c r="W154">
        <v>10</v>
      </c>
    </row>
    <row r="155" spans="1:23" x14ac:dyDescent="0.35">
      <c r="A155" s="113" t="s">
        <v>128</v>
      </c>
      <c r="C155">
        <v>4</v>
      </c>
      <c r="D155">
        <v>7</v>
      </c>
      <c r="I155" s="2" t="s">
        <v>128</v>
      </c>
      <c r="J155" s="6" t="e">
        <v>#DIV/0!</v>
      </c>
      <c r="K155" s="6">
        <v>5.1948051948051951E-2</v>
      </c>
      <c r="L155" s="6">
        <v>7.2916666666666671E-2</v>
      </c>
      <c r="M155" s="6">
        <v>0</v>
      </c>
      <c r="N155" s="6">
        <v>0</v>
      </c>
      <c r="O155" s="6">
        <v>0</v>
      </c>
      <c r="P155" s="6"/>
      <c r="Q155" s="2" t="s">
        <v>128</v>
      </c>
      <c r="S155" t="e">
        <v>#DIV/0!</v>
      </c>
      <c r="T155" t="e">
        <v>#DIV/0!</v>
      </c>
    </row>
    <row r="156" spans="1:23" x14ac:dyDescent="0.35">
      <c r="A156" s="113" t="s">
        <v>77</v>
      </c>
      <c r="I156" s="2" t="s">
        <v>77</v>
      </c>
      <c r="J156" s="6" t="e">
        <v>#DIV/0!</v>
      </c>
      <c r="K156" s="6">
        <v>0</v>
      </c>
      <c r="L156" s="6">
        <v>0</v>
      </c>
      <c r="M156" s="6">
        <v>0</v>
      </c>
      <c r="N156" s="6">
        <v>0</v>
      </c>
      <c r="O156" s="6">
        <v>0</v>
      </c>
      <c r="P156" s="6"/>
      <c r="Q156" s="2" t="s">
        <v>77</v>
      </c>
    </row>
    <row r="157" spans="1:23" x14ac:dyDescent="0.35">
      <c r="A157" s="113" t="s">
        <v>17</v>
      </c>
      <c r="E157">
        <v>5</v>
      </c>
      <c r="I157" s="2" t="s">
        <v>17</v>
      </c>
      <c r="J157" s="6" t="e">
        <v>#DIV/0!</v>
      </c>
      <c r="K157" s="6">
        <v>0</v>
      </c>
      <c r="L157" s="6">
        <v>0</v>
      </c>
      <c r="M157" s="6">
        <v>5.3763440860215055E-2</v>
      </c>
      <c r="N157" s="6">
        <v>0</v>
      </c>
      <c r="O157" s="6">
        <v>0</v>
      </c>
      <c r="P157" s="6"/>
      <c r="Q157" s="2" t="s">
        <v>17</v>
      </c>
      <c r="U157" t="e">
        <v>#DIV/0!</v>
      </c>
    </row>
    <row r="158" spans="1:23" x14ac:dyDescent="0.35">
      <c r="A158" s="113" t="s">
        <v>1</v>
      </c>
      <c r="C158">
        <v>77</v>
      </c>
      <c r="D158">
        <v>96</v>
      </c>
      <c r="E158">
        <v>93</v>
      </c>
      <c r="F158">
        <v>96</v>
      </c>
      <c r="G158">
        <v>86</v>
      </c>
      <c r="I158" s="2" t="s">
        <v>1</v>
      </c>
      <c r="J158" s="6" t="e">
        <v>#DIV/0!</v>
      </c>
      <c r="K158" s="6">
        <v>1</v>
      </c>
      <c r="L158" s="6">
        <v>1</v>
      </c>
      <c r="M158" s="6">
        <v>1</v>
      </c>
      <c r="N158" s="6">
        <v>1</v>
      </c>
      <c r="O158" s="6">
        <v>1</v>
      </c>
      <c r="P158" s="6"/>
      <c r="Q158" s="2" t="s">
        <v>1</v>
      </c>
      <c r="S158">
        <v>8.4941095890410949</v>
      </c>
      <c r="T158">
        <v>8.8398876404494366</v>
      </c>
      <c r="U158">
        <v>8.6753409090909077</v>
      </c>
      <c r="V158">
        <v>9.3060416666666672</v>
      </c>
      <c r="W158">
        <v>8.8767441860465119</v>
      </c>
    </row>
    <row r="161" spans="1:23" ht="43.5" x14ac:dyDescent="0.35">
      <c r="A161" s="112" t="s">
        <v>86</v>
      </c>
      <c r="B161" s="1" t="s">
        <v>130</v>
      </c>
      <c r="I161" s="1" t="s">
        <v>86</v>
      </c>
      <c r="J161" s="1" t="s">
        <v>130</v>
      </c>
      <c r="Q161" s="1" t="s">
        <v>87</v>
      </c>
      <c r="R161" s="1" t="s">
        <v>130</v>
      </c>
    </row>
    <row r="162" spans="1:23" x14ac:dyDescent="0.35">
      <c r="A162" s="112" t="s">
        <v>129</v>
      </c>
      <c r="B162">
        <v>2018</v>
      </c>
      <c r="C162">
        <v>2019</v>
      </c>
      <c r="D162">
        <v>2020</v>
      </c>
      <c r="E162">
        <v>2021</v>
      </c>
      <c r="F162">
        <v>2022</v>
      </c>
      <c r="G162">
        <v>2023</v>
      </c>
      <c r="I162" s="1" t="s">
        <v>129</v>
      </c>
      <c r="J162">
        <v>2018</v>
      </c>
      <c r="K162">
        <v>2019</v>
      </c>
      <c r="L162">
        <v>2020</v>
      </c>
      <c r="M162">
        <v>2021</v>
      </c>
      <c r="N162">
        <v>2022</v>
      </c>
      <c r="O162">
        <v>2023</v>
      </c>
      <c r="Q162" s="1" t="s">
        <v>129</v>
      </c>
      <c r="R162">
        <v>2018</v>
      </c>
      <c r="S162">
        <v>2019</v>
      </c>
      <c r="T162">
        <v>2020</v>
      </c>
      <c r="U162">
        <v>2021</v>
      </c>
      <c r="V162">
        <v>2022</v>
      </c>
      <c r="W162">
        <v>2023</v>
      </c>
    </row>
    <row r="163" spans="1:23" x14ac:dyDescent="0.35">
      <c r="A163" s="113">
        <v>0</v>
      </c>
      <c r="C163">
        <v>1</v>
      </c>
      <c r="E163">
        <v>2</v>
      </c>
      <c r="F163">
        <v>1</v>
      </c>
      <c r="G163">
        <v>1</v>
      </c>
      <c r="I163" s="2">
        <v>0</v>
      </c>
      <c r="J163" s="6" t="e">
        <v>#DIV/0!</v>
      </c>
      <c r="K163" s="6">
        <v>1.282051282051282E-2</v>
      </c>
      <c r="L163" s="6">
        <v>0</v>
      </c>
      <c r="M163" s="6">
        <v>2.1505376344086023E-2</v>
      </c>
      <c r="N163" s="6">
        <v>1.0752688172043012E-2</v>
      </c>
      <c r="O163" s="6">
        <v>1.1764705882352941E-2</v>
      </c>
      <c r="P163" s="6"/>
      <c r="Q163" s="2">
        <v>0</v>
      </c>
      <c r="S163">
        <v>0</v>
      </c>
      <c r="U163">
        <v>0</v>
      </c>
      <c r="V163">
        <v>0</v>
      </c>
      <c r="W163">
        <v>0</v>
      </c>
    </row>
    <row r="164" spans="1:23" x14ac:dyDescent="0.35">
      <c r="A164" s="113">
        <v>3.33</v>
      </c>
      <c r="C164">
        <v>2</v>
      </c>
      <c r="D164">
        <v>2</v>
      </c>
      <c r="E164">
        <v>3</v>
      </c>
      <c r="F164">
        <v>3</v>
      </c>
      <c r="G164">
        <v>3</v>
      </c>
      <c r="I164" s="2">
        <v>3.33</v>
      </c>
      <c r="J164" s="6" t="e">
        <v>#DIV/0!</v>
      </c>
      <c r="K164" s="6">
        <v>2.564102564102564E-2</v>
      </c>
      <c r="L164" s="6">
        <v>2.1276595744680851E-2</v>
      </c>
      <c r="M164" s="6">
        <v>3.2258064516129031E-2</v>
      </c>
      <c r="N164" s="6">
        <v>3.2258064516129031E-2</v>
      </c>
      <c r="O164" s="6">
        <v>3.5294117647058823E-2</v>
      </c>
      <c r="P164" s="6"/>
      <c r="Q164" s="2">
        <v>3.33</v>
      </c>
      <c r="S164">
        <v>3.33</v>
      </c>
      <c r="T164">
        <v>3.33</v>
      </c>
      <c r="U164">
        <v>3.33</v>
      </c>
      <c r="V164">
        <v>3.33</v>
      </c>
      <c r="W164">
        <v>3.33</v>
      </c>
    </row>
    <row r="165" spans="1:23" x14ac:dyDescent="0.35">
      <c r="A165" s="113">
        <v>6.67</v>
      </c>
      <c r="C165">
        <v>20</v>
      </c>
      <c r="D165">
        <v>33</v>
      </c>
      <c r="E165">
        <v>32</v>
      </c>
      <c r="F165">
        <v>27</v>
      </c>
      <c r="G165">
        <v>21</v>
      </c>
      <c r="I165" s="2">
        <v>6.67</v>
      </c>
      <c r="J165" s="6" t="e">
        <v>#DIV/0!</v>
      </c>
      <c r="K165" s="6">
        <v>0.25641025641025639</v>
      </c>
      <c r="L165" s="6">
        <v>0.35106382978723405</v>
      </c>
      <c r="M165" s="6">
        <v>0.34408602150537637</v>
      </c>
      <c r="N165" s="6">
        <v>0.29032258064516131</v>
      </c>
      <c r="O165" s="6">
        <v>0.24705882352941178</v>
      </c>
      <c r="P165" s="6"/>
      <c r="Q165" s="2">
        <v>6.67</v>
      </c>
      <c r="S165">
        <v>6.67</v>
      </c>
      <c r="T165">
        <v>6.6699999999999955</v>
      </c>
      <c r="U165">
        <v>6.6699999999999955</v>
      </c>
      <c r="V165">
        <v>6.6699999999999973</v>
      </c>
      <c r="W165">
        <v>6.67</v>
      </c>
    </row>
    <row r="166" spans="1:23" x14ac:dyDescent="0.35">
      <c r="A166" s="113">
        <v>10</v>
      </c>
      <c r="C166">
        <v>53</v>
      </c>
      <c r="D166">
        <v>56</v>
      </c>
      <c r="E166">
        <v>53</v>
      </c>
      <c r="F166">
        <v>62</v>
      </c>
      <c r="G166">
        <v>60</v>
      </c>
      <c r="I166" s="2">
        <v>10</v>
      </c>
      <c r="J166" s="6" t="e">
        <v>#DIV/0!</v>
      </c>
      <c r="K166" s="6">
        <v>0.67948717948717952</v>
      </c>
      <c r="L166" s="6">
        <v>0.5957446808510638</v>
      </c>
      <c r="M166" s="6">
        <v>0.56989247311827962</v>
      </c>
      <c r="N166" s="6">
        <v>0.66666666666666663</v>
      </c>
      <c r="O166" s="6">
        <v>0.70588235294117652</v>
      </c>
      <c r="P166" s="6"/>
      <c r="Q166" s="2">
        <v>10</v>
      </c>
      <c r="S166">
        <v>10</v>
      </c>
      <c r="T166">
        <v>10</v>
      </c>
      <c r="U166">
        <v>10</v>
      </c>
      <c r="V166">
        <v>10</v>
      </c>
      <c r="W166">
        <v>10</v>
      </c>
    </row>
    <row r="167" spans="1:23" x14ac:dyDescent="0.35">
      <c r="A167" s="113" t="s">
        <v>128</v>
      </c>
      <c r="C167">
        <v>2</v>
      </c>
      <c r="D167">
        <v>3</v>
      </c>
      <c r="I167" s="2" t="s">
        <v>128</v>
      </c>
      <c r="J167" s="6" t="e">
        <v>#DIV/0!</v>
      </c>
      <c r="K167" s="6">
        <v>2.564102564102564E-2</v>
      </c>
      <c r="L167" s="6">
        <v>3.1914893617021274E-2</v>
      </c>
      <c r="M167" s="6">
        <v>0</v>
      </c>
      <c r="N167" s="6">
        <v>0</v>
      </c>
      <c r="O167" s="6">
        <v>0</v>
      </c>
      <c r="P167" s="6"/>
      <c r="Q167" s="2" t="s">
        <v>128</v>
      </c>
      <c r="S167" t="e">
        <v>#DIV/0!</v>
      </c>
      <c r="T167" t="e">
        <v>#DIV/0!</v>
      </c>
    </row>
    <row r="168" spans="1:23" x14ac:dyDescent="0.35">
      <c r="A168" s="113" t="s">
        <v>77</v>
      </c>
      <c r="I168" s="2" t="s">
        <v>77</v>
      </c>
      <c r="J168" s="6" t="e">
        <v>#DIV/0!</v>
      </c>
      <c r="K168" s="6">
        <v>0</v>
      </c>
      <c r="L168" s="6">
        <v>0</v>
      </c>
      <c r="M168" s="6">
        <v>0</v>
      </c>
      <c r="N168" s="6">
        <v>0</v>
      </c>
      <c r="O168" s="6">
        <v>0</v>
      </c>
      <c r="P168" s="6"/>
      <c r="Q168" s="2" t="s">
        <v>77</v>
      </c>
    </row>
    <row r="169" spans="1:23" x14ac:dyDescent="0.35">
      <c r="A169" s="113" t="s">
        <v>17</v>
      </c>
      <c r="E169">
        <v>3</v>
      </c>
      <c r="I169" s="2" t="s">
        <v>17</v>
      </c>
      <c r="J169" s="6" t="e">
        <v>#DIV/0!</v>
      </c>
      <c r="K169" s="6">
        <v>0</v>
      </c>
      <c r="L169" s="6">
        <v>0</v>
      </c>
      <c r="M169" s="6">
        <v>3.2258064516129031E-2</v>
      </c>
      <c r="N169" s="6">
        <v>0</v>
      </c>
      <c r="O169" s="6">
        <v>0</v>
      </c>
      <c r="P169" s="6"/>
      <c r="Q169" s="2" t="s">
        <v>17</v>
      </c>
      <c r="U169" t="e">
        <v>#DIV/0!</v>
      </c>
    </row>
    <row r="170" spans="1:23" x14ac:dyDescent="0.35">
      <c r="A170" s="113" t="s">
        <v>1</v>
      </c>
      <c r="C170">
        <v>78</v>
      </c>
      <c r="D170">
        <v>94</v>
      </c>
      <c r="E170">
        <v>93</v>
      </c>
      <c r="F170">
        <v>93</v>
      </c>
      <c r="G170">
        <v>85</v>
      </c>
      <c r="I170" s="2" t="s">
        <v>1</v>
      </c>
      <c r="J170" s="6" t="e">
        <v>#DIV/0!</v>
      </c>
      <c r="K170" s="6">
        <v>1</v>
      </c>
      <c r="L170" s="6">
        <v>1</v>
      </c>
      <c r="M170" s="6">
        <v>1</v>
      </c>
      <c r="N170" s="6">
        <v>1</v>
      </c>
      <c r="O170" s="6">
        <v>1</v>
      </c>
      <c r="P170" s="6"/>
      <c r="Q170" s="2" t="s">
        <v>1</v>
      </c>
      <c r="S170">
        <v>8.81657894736842</v>
      </c>
      <c r="T170">
        <v>8.6458241758241741</v>
      </c>
      <c r="U170">
        <v>8.3714444444444425</v>
      </c>
      <c r="V170">
        <v>8.7105376344086007</v>
      </c>
      <c r="W170">
        <v>8.8242352941176456</v>
      </c>
    </row>
    <row r="173" spans="1:23" ht="43.5" x14ac:dyDescent="0.35">
      <c r="A173" s="112" t="s">
        <v>88</v>
      </c>
      <c r="B173" s="1" t="s">
        <v>130</v>
      </c>
      <c r="I173" s="1" t="s">
        <v>88</v>
      </c>
      <c r="J173" s="1" t="s">
        <v>130</v>
      </c>
      <c r="Q173" s="1" t="s">
        <v>89</v>
      </c>
      <c r="R173" s="1" t="s">
        <v>130</v>
      </c>
    </row>
    <row r="174" spans="1:23" x14ac:dyDescent="0.35">
      <c r="A174" s="112" t="s">
        <v>129</v>
      </c>
      <c r="B174">
        <v>2018</v>
      </c>
      <c r="C174">
        <v>2019</v>
      </c>
      <c r="D174">
        <v>2020</v>
      </c>
      <c r="E174">
        <v>2021</v>
      </c>
      <c r="F174">
        <v>2022</v>
      </c>
      <c r="G174">
        <v>2023</v>
      </c>
      <c r="I174" s="1" t="s">
        <v>129</v>
      </c>
      <c r="J174">
        <v>2018</v>
      </c>
      <c r="K174">
        <v>2019</v>
      </c>
      <c r="L174">
        <v>2020</v>
      </c>
      <c r="M174">
        <v>2021</v>
      </c>
      <c r="N174">
        <v>2022</v>
      </c>
      <c r="O174">
        <v>2023</v>
      </c>
      <c r="Q174" s="1" t="s">
        <v>129</v>
      </c>
      <c r="R174">
        <v>2018</v>
      </c>
      <c r="S174">
        <v>2019</v>
      </c>
      <c r="T174">
        <v>2020</v>
      </c>
      <c r="U174">
        <v>2021</v>
      </c>
      <c r="V174">
        <v>2022</v>
      </c>
      <c r="W174">
        <v>2023</v>
      </c>
    </row>
    <row r="175" spans="1:23" x14ac:dyDescent="0.35">
      <c r="A175" s="113">
        <v>0</v>
      </c>
      <c r="D175">
        <v>1</v>
      </c>
      <c r="E175">
        <v>2</v>
      </c>
      <c r="F175">
        <v>1</v>
      </c>
      <c r="G175">
        <v>3</v>
      </c>
      <c r="I175" s="2">
        <v>0</v>
      </c>
      <c r="J175" s="6" t="e">
        <v>#DIV/0!</v>
      </c>
      <c r="K175" s="6">
        <v>0</v>
      </c>
      <c r="L175" s="6">
        <v>1.0309278350515464E-2</v>
      </c>
      <c r="M175" s="6">
        <v>2.1505376344086023E-2</v>
      </c>
      <c r="N175" s="6">
        <v>1.1111111111111112E-2</v>
      </c>
      <c r="O175" s="6">
        <v>3.4883720930232558E-2</v>
      </c>
      <c r="P175" s="6"/>
      <c r="Q175" s="2">
        <v>0</v>
      </c>
      <c r="T175">
        <v>0</v>
      </c>
      <c r="U175">
        <v>0</v>
      </c>
      <c r="V175">
        <v>0</v>
      </c>
      <c r="W175">
        <v>0</v>
      </c>
    </row>
    <row r="176" spans="1:23" x14ac:dyDescent="0.35">
      <c r="A176" s="113">
        <v>3.33</v>
      </c>
      <c r="C176">
        <v>1</v>
      </c>
      <c r="D176">
        <v>1</v>
      </c>
      <c r="E176">
        <v>3</v>
      </c>
      <c r="F176">
        <v>2</v>
      </c>
      <c r="G176">
        <v>1</v>
      </c>
      <c r="I176" s="2">
        <v>3.33</v>
      </c>
      <c r="J176" s="6" t="e">
        <v>#DIV/0!</v>
      </c>
      <c r="K176" s="6">
        <v>1.3333333333333334E-2</v>
      </c>
      <c r="L176" s="6">
        <v>1.0309278350515464E-2</v>
      </c>
      <c r="M176" s="6">
        <v>3.2258064516129031E-2</v>
      </c>
      <c r="N176" s="6">
        <v>2.2222222222222223E-2</v>
      </c>
      <c r="O176" s="6">
        <v>1.1627906976744186E-2</v>
      </c>
      <c r="P176" s="6"/>
      <c r="Q176" s="2">
        <v>3.33</v>
      </c>
      <c r="S176">
        <v>3.33</v>
      </c>
      <c r="T176">
        <v>3.33</v>
      </c>
      <c r="U176">
        <v>3.33</v>
      </c>
      <c r="V176">
        <v>3.33</v>
      </c>
      <c r="W176">
        <v>3.33</v>
      </c>
    </row>
    <row r="177" spans="1:23" x14ac:dyDescent="0.35">
      <c r="A177" s="113">
        <v>6.67</v>
      </c>
      <c r="C177">
        <v>18</v>
      </c>
      <c r="D177">
        <v>27</v>
      </c>
      <c r="E177">
        <v>19</v>
      </c>
      <c r="F177">
        <v>8</v>
      </c>
      <c r="G177">
        <v>24</v>
      </c>
      <c r="I177" s="2">
        <v>6.67</v>
      </c>
      <c r="J177" s="6" t="e">
        <v>#DIV/0!</v>
      </c>
      <c r="K177" s="6">
        <v>0.24</v>
      </c>
      <c r="L177" s="6">
        <v>0.27835051546391754</v>
      </c>
      <c r="M177" s="6">
        <v>0.20430107526881722</v>
      </c>
      <c r="N177" s="6">
        <v>8.8888888888888892E-2</v>
      </c>
      <c r="O177" s="6">
        <v>0.27906976744186046</v>
      </c>
      <c r="P177" s="6"/>
      <c r="Q177" s="2">
        <v>6.67</v>
      </c>
      <c r="S177">
        <v>6.6700000000000008</v>
      </c>
      <c r="T177">
        <v>6.6699999999999973</v>
      </c>
      <c r="U177">
        <v>6.6700000000000008</v>
      </c>
      <c r="V177">
        <v>6.6700000000000008</v>
      </c>
      <c r="W177">
        <v>6.6699999999999982</v>
      </c>
    </row>
    <row r="178" spans="1:23" x14ac:dyDescent="0.35">
      <c r="A178" s="113">
        <v>10</v>
      </c>
      <c r="C178">
        <v>54</v>
      </c>
      <c r="D178">
        <v>66</v>
      </c>
      <c r="E178">
        <v>61</v>
      </c>
      <c r="F178">
        <v>79</v>
      </c>
      <c r="G178">
        <v>58</v>
      </c>
      <c r="I178" s="2">
        <v>10</v>
      </c>
      <c r="J178" s="6" t="e">
        <v>#DIV/0!</v>
      </c>
      <c r="K178" s="6">
        <v>0.72</v>
      </c>
      <c r="L178" s="6">
        <v>0.68041237113402064</v>
      </c>
      <c r="M178" s="6">
        <v>0.65591397849462363</v>
      </c>
      <c r="N178" s="6">
        <v>0.87777777777777777</v>
      </c>
      <c r="O178" s="6">
        <v>0.67441860465116277</v>
      </c>
      <c r="P178" s="6"/>
      <c r="Q178" s="2">
        <v>10</v>
      </c>
      <c r="S178">
        <v>10</v>
      </c>
      <c r="T178">
        <v>10</v>
      </c>
      <c r="U178">
        <v>10</v>
      </c>
      <c r="V178">
        <v>10</v>
      </c>
      <c r="W178">
        <v>10</v>
      </c>
    </row>
    <row r="179" spans="1:23" x14ac:dyDescent="0.35">
      <c r="A179" s="113" t="s">
        <v>128</v>
      </c>
      <c r="C179">
        <v>2</v>
      </c>
      <c r="D179">
        <v>2</v>
      </c>
      <c r="I179" s="2" t="s">
        <v>128</v>
      </c>
      <c r="J179" s="6" t="e">
        <v>#DIV/0!</v>
      </c>
      <c r="K179" s="6">
        <v>2.6666666666666668E-2</v>
      </c>
      <c r="L179" s="6">
        <v>2.0618556701030927E-2</v>
      </c>
      <c r="M179" s="6">
        <v>0</v>
      </c>
      <c r="N179" s="6">
        <v>0</v>
      </c>
      <c r="O179" s="6">
        <v>0</v>
      </c>
      <c r="P179" s="6"/>
      <c r="Q179" s="2" t="s">
        <v>128</v>
      </c>
      <c r="S179" t="e">
        <v>#DIV/0!</v>
      </c>
      <c r="T179" t="e">
        <v>#DIV/0!</v>
      </c>
    </row>
    <row r="180" spans="1:23" x14ac:dyDescent="0.35">
      <c r="A180" s="113" t="s">
        <v>77</v>
      </c>
      <c r="I180" s="2" t="s">
        <v>77</v>
      </c>
      <c r="J180" s="6" t="e">
        <v>#DIV/0!</v>
      </c>
      <c r="K180" s="6">
        <v>0</v>
      </c>
      <c r="L180" s="6">
        <v>0</v>
      </c>
      <c r="M180" s="6">
        <v>0</v>
      </c>
      <c r="N180" s="6">
        <v>0</v>
      </c>
      <c r="O180" s="6">
        <v>0</v>
      </c>
      <c r="P180" s="6"/>
      <c r="Q180" s="2" t="s">
        <v>77</v>
      </c>
    </row>
    <row r="181" spans="1:23" x14ac:dyDescent="0.35">
      <c r="A181" s="113" t="s">
        <v>17</v>
      </c>
      <c r="E181">
        <v>8</v>
      </c>
      <c r="I181" s="2" t="s">
        <v>17</v>
      </c>
      <c r="J181" s="6" t="e">
        <v>#DIV/0!</v>
      </c>
      <c r="K181" s="6">
        <v>0</v>
      </c>
      <c r="L181" s="6">
        <v>0</v>
      </c>
      <c r="M181" s="6">
        <v>8.6021505376344093E-2</v>
      </c>
      <c r="N181" s="6">
        <v>0</v>
      </c>
      <c r="O181" s="6">
        <v>0</v>
      </c>
      <c r="P181" s="6"/>
      <c r="Q181" s="2" t="s">
        <v>17</v>
      </c>
      <c r="U181" t="e">
        <v>#DIV/0!</v>
      </c>
    </row>
    <row r="182" spans="1:23" x14ac:dyDescent="0.35">
      <c r="A182" s="113" t="s">
        <v>1</v>
      </c>
      <c r="C182">
        <v>75</v>
      </c>
      <c r="D182">
        <v>97</v>
      </c>
      <c r="E182">
        <v>93</v>
      </c>
      <c r="F182">
        <v>90</v>
      </c>
      <c r="G182">
        <v>86</v>
      </c>
      <c r="I182" s="2" t="s">
        <v>1</v>
      </c>
      <c r="J182" s="6" t="e">
        <v>#DIV/0!</v>
      </c>
      <c r="K182" s="6">
        <v>1</v>
      </c>
      <c r="L182" s="6">
        <v>1</v>
      </c>
      <c r="M182" s="6">
        <v>1</v>
      </c>
      <c r="N182" s="6">
        <v>1</v>
      </c>
      <c r="O182" s="6">
        <v>1</v>
      </c>
      <c r="P182" s="6"/>
      <c r="Q182" s="2" t="s">
        <v>1</v>
      </c>
      <c r="S182">
        <v>9.087534246575343</v>
      </c>
      <c r="T182">
        <v>8.8781052631578952</v>
      </c>
      <c r="U182">
        <v>8.7849411764705891</v>
      </c>
      <c r="V182">
        <v>9.4446666666666665</v>
      </c>
      <c r="W182">
        <v>8.6443023255813944</v>
      </c>
    </row>
    <row r="185" spans="1:23" ht="43.5" x14ac:dyDescent="0.35">
      <c r="A185" s="112" t="s">
        <v>90</v>
      </c>
      <c r="B185" s="1" t="s">
        <v>130</v>
      </c>
      <c r="I185" s="1" t="s">
        <v>90</v>
      </c>
      <c r="J185" s="1" t="s">
        <v>130</v>
      </c>
      <c r="Q185" s="1" t="s">
        <v>91</v>
      </c>
      <c r="R185" s="1" t="s">
        <v>130</v>
      </c>
    </row>
    <row r="186" spans="1:23" x14ac:dyDescent="0.35">
      <c r="A186" s="112" t="s">
        <v>129</v>
      </c>
      <c r="B186">
        <v>2018</v>
      </c>
      <c r="C186">
        <v>2019</v>
      </c>
      <c r="D186">
        <v>2020</v>
      </c>
      <c r="E186">
        <v>2021</v>
      </c>
      <c r="F186">
        <v>2022</v>
      </c>
      <c r="G186">
        <v>2023</v>
      </c>
      <c r="I186" s="1" t="s">
        <v>129</v>
      </c>
      <c r="J186">
        <v>2018</v>
      </c>
      <c r="K186">
        <v>2019</v>
      </c>
      <c r="L186">
        <v>2020</v>
      </c>
      <c r="M186">
        <v>2021</v>
      </c>
      <c r="N186">
        <v>2022</v>
      </c>
      <c r="O186">
        <v>2023</v>
      </c>
      <c r="Q186" s="1" t="s">
        <v>129</v>
      </c>
      <c r="R186">
        <v>2018</v>
      </c>
      <c r="S186">
        <v>2019</v>
      </c>
      <c r="T186">
        <v>2020</v>
      </c>
      <c r="U186">
        <v>2021</v>
      </c>
      <c r="V186">
        <v>2022</v>
      </c>
      <c r="W186">
        <v>2023</v>
      </c>
    </row>
    <row r="187" spans="1:23" x14ac:dyDescent="0.35">
      <c r="A187" s="113">
        <v>0</v>
      </c>
      <c r="C187">
        <v>2</v>
      </c>
      <c r="D187">
        <v>2</v>
      </c>
      <c r="E187">
        <v>3</v>
      </c>
      <c r="G187">
        <v>1</v>
      </c>
      <c r="I187" s="2">
        <v>0</v>
      </c>
      <c r="J187" s="6" t="e">
        <v>#DIV/0!</v>
      </c>
      <c r="K187" s="6">
        <v>2.5316455696202531E-2</v>
      </c>
      <c r="L187" s="6">
        <v>2.1739130434782608E-2</v>
      </c>
      <c r="M187" s="6">
        <v>3.2258064516129031E-2</v>
      </c>
      <c r="N187" s="6">
        <v>0</v>
      </c>
      <c r="O187" s="6">
        <v>1.1764705882352941E-2</v>
      </c>
      <c r="P187" s="6"/>
      <c r="Q187" s="2">
        <v>0</v>
      </c>
      <c r="S187">
        <v>0</v>
      </c>
      <c r="T187">
        <v>0</v>
      </c>
      <c r="U187">
        <v>0</v>
      </c>
      <c r="W187">
        <v>0</v>
      </c>
    </row>
    <row r="188" spans="1:23" x14ac:dyDescent="0.35">
      <c r="A188" s="113">
        <v>3.33</v>
      </c>
      <c r="D188">
        <v>2</v>
      </c>
      <c r="E188">
        <v>2</v>
      </c>
      <c r="F188">
        <v>1</v>
      </c>
      <c r="G188">
        <v>5</v>
      </c>
      <c r="I188" s="2">
        <v>3.33</v>
      </c>
      <c r="J188" s="6" t="e">
        <v>#DIV/0!</v>
      </c>
      <c r="K188" s="6">
        <v>0</v>
      </c>
      <c r="L188" s="6">
        <v>2.1739130434782608E-2</v>
      </c>
      <c r="M188" s="6">
        <v>2.1505376344086023E-2</v>
      </c>
      <c r="N188" s="6">
        <v>1.0752688172043012E-2</v>
      </c>
      <c r="O188" s="6">
        <v>5.8823529411764705E-2</v>
      </c>
      <c r="P188" s="6"/>
      <c r="Q188" s="2">
        <v>3.33</v>
      </c>
      <c r="T188">
        <v>3.33</v>
      </c>
      <c r="U188">
        <v>3.33</v>
      </c>
      <c r="V188">
        <v>3.33</v>
      </c>
      <c r="W188">
        <v>3.3299999999999996</v>
      </c>
    </row>
    <row r="189" spans="1:23" x14ac:dyDescent="0.35">
      <c r="A189" s="113">
        <v>6.67</v>
      </c>
      <c r="C189">
        <v>15</v>
      </c>
      <c r="D189">
        <v>21</v>
      </c>
      <c r="E189">
        <v>23</v>
      </c>
      <c r="F189">
        <v>15</v>
      </c>
      <c r="G189">
        <v>23</v>
      </c>
      <c r="I189" s="2">
        <v>6.67</v>
      </c>
      <c r="J189" s="6" t="e">
        <v>#DIV/0!</v>
      </c>
      <c r="K189" s="6">
        <v>0.189873417721519</v>
      </c>
      <c r="L189" s="6">
        <v>0.22826086956521738</v>
      </c>
      <c r="M189" s="6">
        <v>0.24731182795698925</v>
      </c>
      <c r="N189" s="6">
        <v>0.16129032258064516</v>
      </c>
      <c r="O189" s="6">
        <v>0.27058823529411763</v>
      </c>
      <c r="P189" s="6"/>
      <c r="Q189" s="2">
        <v>6.67</v>
      </c>
      <c r="S189">
        <v>6.6700000000000008</v>
      </c>
      <c r="T189">
        <v>6.67</v>
      </c>
      <c r="U189">
        <v>6.669999999999999</v>
      </c>
      <c r="V189">
        <v>6.6700000000000008</v>
      </c>
      <c r="W189">
        <v>6.669999999999999</v>
      </c>
    </row>
    <row r="190" spans="1:23" x14ac:dyDescent="0.35">
      <c r="A190" s="113">
        <v>10</v>
      </c>
      <c r="C190">
        <v>62</v>
      </c>
      <c r="D190">
        <v>63</v>
      </c>
      <c r="E190">
        <v>60</v>
      </c>
      <c r="F190">
        <v>77</v>
      </c>
      <c r="G190">
        <v>55</v>
      </c>
      <c r="I190" s="2">
        <v>10</v>
      </c>
      <c r="J190" s="6" t="e">
        <v>#DIV/0!</v>
      </c>
      <c r="K190" s="6">
        <v>0.78481012658227844</v>
      </c>
      <c r="L190" s="6">
        <v>0.68478260869565222</v>
      </c>
      <c r="M190" s="6">
        <v>0.64516129032258063</v>
      </c>
      <c r="N190" s="6">
        <v>0.82795698924731187</v>
      </c>
      <c r="O190" s="6">
        <v>0.6470588235294118</v>
      </c>
      <c r="P190" s="6"/>
      <c r="Q190" s="2">
        <v>10</v>
      </c>
      <c r="S190">
        <v>10</v>
      </c>
      <c r="T190">
        <v>10</v>
      </c>
      <c r="U190">
        <v>10</v>
      </c>
      <c r="V190">
        <v>10</v>
      </c>
      <c r="W190">
        <v>10</v>
      </c>
    </row>
    <row r="191" spans="1:23" x14ac:dyDescent="0.35">
      <c r="A191" s="113" t="s">
        <v>128</v>
      </c>
      <c r="D191">
        <v>4</v>
      </c>
      <c r="I191" s="2" t="s">
        <v>128</v>
      </c>
      <c r="J191" s="6" t="e">
        <v>#DIV/0!</v>
      </c>
      <c r="K191" s="6">
        <v>0</v>
      </c>
      <c r="L191" s="6">
        <v>4.3478260869565216E-2</v>
      </c>
      <c r="M191" s="6">
        <v>0</v>
      </c>
      <c r="N191" s="6">
        <v>0</v>
      </c>
      <c r="O191" s="6">
        <v>0</v>
      </c>
      <c r="P191" s="6"/>
      <c r="Q191" s="2" t="s">
        <v>128</v>
      </c>
      <c r="T191" t="e">
        <v>#DIV/0!</v>
      </c>
    </row>
    <row r="192" spans="1:23" x14ac:dyDescent="0.35">
      <c r="A192" s="113" t="s">
        <v>77</v>
      </c>
      <c r="I192" s="2" t="s">
        <v>77</v>
      </c>
      <c r="J192" s="6" t="e">
        <v>#DIV/0!</v>
      </c>
      <c r="K192" s="6">
        <v>0</v>
      </c>
      <c r="L192" s="6">
        <v>0</v>
      </c>
      <c r="M192" s="6">
        <v>0</v>
      </c>
      <c r="N192" s="6">
        <v>0</v>
      </c>
      <c r="O192" s="6">
        <v>0</v>
      </c>
      <c r="P192" s="6"/>
      <c r="Q192" s="2" t="s">
        <v>77</v>
      </c>
    </row>
    <row r="193" spans="1:23" x14ac:dyDescent="0.35">
      <c r="A193" s="113" t="s">
        <v>17</v>
      </c>
      <c r="E193">
        <v>5</v>
      </c>
      <c r="I193" s="2" t="s">
        <v>17</v>
      </c>
      <c r="J193" s="6" t="e">
        <v>#DIV/0!</v>
      </c>
      <c r="K193" s="6">
        <v>0</v>
      </c>
      <c r="L193" s="6">
        <v>0</v>
      </c>
      <c r="M193" s="6">
        <v>5.3763440860215055E-2</v>
      </c>
      <c r="N193" s="6">
        <v>0</v>
      </c>
      <c r="O193" s="6">
        <v>0</v>
      </c>
      <c r="P193" s="6"/>
      <c r="Q193" s="2" t="s">
        <v>17</v>
      </c>
      <c r="U193" t="e">
        <v>#DIV/0!</v>
      </c>
    </row>
    <row r="194" spans="1:23" x14ac:dyDescent="0.35">
      <c r="A194" s="113">
        <v>1</v>
      </c>
      <c r="G194">
        <v>1</v>
      </c>
      <c r="I194" s="2">
        <v>1</v>
      </c>
      <c r="J194" s="6" t="e">
        <v>#DIV/0!</v>
      </c>
      <c r="K194" s="6">
        <v>0</v>
      </c>
      <c r="L194" s="6">
        <v>0</v>
      </c>
      <c r="M194" s="6">
        <v>0</v>
      </c>
      <c r="N194" s="6">
        <v>0</v>
      </c>
      <c r="O194" s="6">
        <v>1.1764705882352941E-2</v>
      </c>
      <c r="P194" s="6"/>
      <c r="Q194" s="2">
        <v>1</v>
      </c>
      <c r="W194">
        <v>1</v>
      </c>
    </row>
    <row r="195" spans="1:23" x14ac:dyDescent="0.35">
      <c r="A195" s="113" t="s">
        <v>1</v>
      </c>
      <c r="C195">
        <v>79</v>
      </c>
      <c r="D195">
        <v>92</v>
      </c>
      <c r="E195">
        <v>93</v>
      </c>
      <c r="F195">
        <v>93</v>
      </c>
      <c r="G195">
        <v>85</v>
      </c>
      <c r="I195" s="2" t="s">
        <v>1</v>
      </c>
      <c r="J195" s="6" t="e">
        <v>#DIV/0!</v>
      </c>
      <c r="K195" s="6">
        <v>1</v>
      </c>
      <c r="L195" s="6">
        <v>1</v>
      </c>
      <c r="M195" s="6">
        <v>1</v>
      </c>
      <c r="N195" s="6">
        <v>1</v>
      </c>
      <c r="O195" s="6">
        <v>1</v>
      </c>
      <c r="Q195" s="2" t="s">
        <v>1</v>
      </c>
      <c r="S195">
        <v>9.1145569620253166</v>
      </c>
      <c r="T195">
        <v>8.8264772727272724</v>
      </c>
      <c r="U195">
        <v>8.6371590909090905</v>
      </c>
      <c r="V195">
        <v>9.3911827956989242</v>
      </c>
      <c r="W195">
        <v>8.4830588235294115</v>
      </c>
    </row>
    <row r="197" spans="1:23" ht="43.5" x14ac:dyDescent="0.35">
      <c r="A197" s="112" t="s">
        <v>92</v>
      </c>
      <c r="B197" s="1" t="s">
        <v>130</v>
      </c>
      <c r="I197" s="1" t="s">
        <v>92</v>
      </c>
      <c r="J197" s="1" t="s">
        <v>130</v>
      </c>
      <c r="Q197" s="1" t="s">
        <v>93</v>
      </c>
      <c r="R197" s="1" t="s">
        <v>130</v>
      </c>
    </row>
    <row r="198" spans="1:23" x14ac:dyDescent="0.35">
      <c r="A198" s="112" t="s">
        <v>129</v>
      </c>
      <c r="B198">
        <v>2018</v>
      </c>
      <c r="C198">
        <v>2019</v>
      </c>
      <c r="D198">
        <v>2020</v>
      </c>
      <c r="E198">
        <v>2021</v>
      </c>
      <c r="F198">
        <v>2022</v>
      </c>
      <c r="G198">
        <v>2023</v>
      </c>
      <c r="I198" s="1" t="s">
        <v>129</v>
      </c>
      <c r="J198">
        <v>2018</v>
      </c>
      <c r="K198">
        <v>2019</v>
      </c>
      <c r="L198">
        <v>2020</v>
      </c>
      <c r="M198">
        <v>2021</v>
      </c>
      <c r="N198">
        <v>2022</v>
      </c>
      <c r="O198">
        <v>2023</v>
      </c>
      <c r="Q198" s="1" t="s">
        <v>129</v>
      </c>
      <c r="R198">
        <v>2018</v>
      </c>
      <c r="S198">
        <v>2019</v>
      </c>
      <c r="T198">
        <v>2020</v>
      </c>
      <c r="U198">
        <v>2021</v>
      </c>
      <c r="V198">
        <v>2022</v>
      </c>
      <c r="W198">
        <v>2023</v>
      </c>
    </row>
    <row r="199" spans="1:23" x14ac:dyDescent="0.35">
      <c r="A199" s="113">
        <v>0</v>
      </c>
      <c r="C199">
        <v>1</v>
      </c>
      <c r="D199">
        <v>2</v>
      </c>
      <c r="E199">
        <v>2</v>
      </c>
      <c r="F199">
        <v>1</v>
      </c>
      <c r="G199">
        <v>1</v>
      </c>
      <c r="I199" s="2">
        <v>0</v>
      </c>
      <c r="J199" s="6" t="e">
        <v>#DIV/0!</v>
      </c>
      <c r="K199" s="6">
        <v>1.2658227848101266E-2</v>
      </c>
      <c r="L199" s="6">
        <v>2.1276595744680851E-2</v>
      </c>
      <c r="M199" s="6">
        <v>2.1739130434782608E-2</v>
      </c>
      <c r="N199" s="6">
        <v>1.2345679012345678E-2</v>
      </c>
      <c r="O199" s="6">
        <v>1.1627906976744186E-2</v>
      </c>
      <c r="P199" s="6"/>
      <c r="Q199" s="2">
        <v>0</v>
      </c>
      <c r="S199">
        <v>0</v>
      </c>
      <c r="T199">
        <v>0</v>
      </c>
      <c r="U199">
        <v>0</v>
      </c>
      <c r="V199">
        <v>0</v>
      </c>
      <c r="W199">
        <v>0</v>
      </c>
    </row>
    <row r="200" spans="1:23" x14ac:dyDescent="0.35">
      <c r="A200" s="113">
        <v>3.33</v>
      </c>
      <c r="C200">
        <v>3</v>
      </c>
      <c r="D200">
        <v>3</v>
      </c>
      <c r="E200">
        <v>1</v>
      </c>
      <c r="G200">
        <v>1</v>
      </c>
      <c r="I200" s="2">
        <v>3.33</v>
      </c>
      <c r="J200" s="6" t="e">
        <v>#DIV/0!</v>
      </c>
      <c r="K200" s="6">
        <v>3.7974683544303799E-2</v>
      </c>
      <c r="L200" s="6">
        <v>3.1914893617021274E-2</v>
      </c>
      <c r="M200" s="6">
        <v>1.0869565217391304E-2</v>
      </c>
      <c r="N200" s="6">
        <v>0</v>
      </c>
      <c r="O200" s="6">
        <v>1.1627906976744186E-2</v>
      </c>
      <c r="P200" s="6"/>
      <c r="Q200" s="2">
        <v>3.33</v>
      </c>
      <c r="S200">
        <v>3.33</v>
      </c>
      <c r="T200">
        <v>3.33</v>
      </c>
      <c r="U200">
        <v>3.33</v>
      </c>
      <c r="W200">
        <v>3.33</v>
      </c>
    </row>
    <row r="201" spans="1:23" x14ac:dyDescent="0.35">
      <c r="A201" s="113">
        <v>6.67</v>
      </c>
      <c r="C201">
        <v>13</v>
      </c>
      <c r="D201">
        <v>16</v>
      </c>
      <c r="E201">
        <v>18</v>
      </c>
      <c r="F201">
        <v>14</v>
      </c>
      <c r="G201">
        <v>21</v>
      </c>
      <c r="I201" s="2">
        <v>6.67</v>
      </c>
      <c r="J201" s="6" t="e">
        <v>#DIV/0!</v>
      </c>
      <c r="K201" s="6">
        <v>0.16455696202531644</v>
      </c>
      <c r="L201" s="6">
        <v>0.1702127659574468</v>
      </c>
      <c r="M201" s="6">
        <v>0.19565217391304349</v>
      </c>
      <c r="N201" s="6">
        <v>0.1728395061728395</v>
      </c>
      <c r="O201" s="6">
        <v>0.2441860465116279</v>
      </c>
      <c r="P201" s="6"/>
      <c r="Q201" s="2">
        <v>6.67</v>
      </c>
      <c r="S201">
        <v>6.6700000000000008</v>
      </c>
      <c r="T201">
        <v>6.6700000000000008</v>
      </c>
      <c r="U201">
        <v>6.6700000000000008</v>
      </c>
      <c r="V201">
        <v>6.6700000000000008</v>
      </c>
      <c r="W201">
        <v>6.67</v>
      </c>
    </row>
    <row r="202" spans="1:23" x14ac:dyDescent="0.35">
      <c r="A202" s="113">
        <v>10</v>
      </c>
      <c r="C202">
        <v>52</v>
      </c>
      <c r="D202">
        <v>65</v>
      </c>
      <c r="E202">
        <v>60</v>
      </c>
      <c r="F202">
        <v>66</v>
      </c>
      <c r="G202">
        <v>62</v>
      </c>
      <c r="I202" s="2">
        <v>10</v>
      </c>
      <c r="J202" s="6" t="e">
        <v>#DIV/0!</v>
      </c>
      <c r="K202" s="6">
        <v>0.65822784810126578</v>
      </c>
      <c r="L202" s="6">
        <v>0.69148936170212771</v>
      </c>
      <c r="M202" s="6">
        <v>0.65217391304347827</v>
      </c>
      <c r="N202" s="6">
        <v>0.81481481481481477</v>
      </c>
      <c r="O202" s="6">
        <v>0.72093023255813948</v>
      </c>
      <c r="P202" s="6"/>
      <c r="Q202" s="2">
        <v>10</v>
      </c>
      <c r="S202">
        <v>10</v>
      </c>
      <c r="T202">
        <v>10</v>
      </c>
      <c r="U202">
        <v>10</v>
      </c>
      <c r="V202">
        <v>10</v>
      </c>
      <c r="W202">
        <v>10</v>
      </c>
    </row>
    <row r="203" spans="1:23" x14ac:dyDescent="0.35">
      <c r="A203" s="113" t="s">
        <v>128</v>
      </c>
      <c r="C203">
        <v>10</v>
      </c>
      <c r="D203">
        <v>8</v>
      </c>
      <c r="I203" s="2" t="s">
        <v>128</v>
      </c>
      <c r="J203" s="6" t="e">
        <v>#DIV/0!</v>
      </c>
      <c r="K203" s="6">
        <v>0.12658227848101267</v>
      </c>
      <c r="L203" s="6">
        <v>8.5106382978723402E-2</v>
      </c>
      <c r="M203" s="6">
        <v>0</v>
      </c>
      <c r="N203" s="6">
        <v>0</v>
      </c>
      <c r="O203" s="6">
        <v>0</v>
      </c>
      <c r="P203" s="6"/>
      <c r="Q203" s="2" t="s">
        <v>128</v>
      </c>
      <c r="S203" t="e">
        <v>#DIV/0!</v>
      </c>
      <c r="T203" t="e">
        <v>#DIV/0!</v>
      </c>
    </row>
    <row r="204" spans="1:23" x14ac:dyDescent="0.35">
      <c r="A204" s="113" t="s">
        <v>77</v>
      </c>
      <c r="I204" s="2" t="s">
        <v>77</v>
      </c>
      <c r="J204" s="6" t="e">
        <v>#DIV/0!</v>
      </c>
      <c r="K204" s="6">
        <v>0</v>
      </c>
      <c r="L204" s="6">
        <v>0</v>
      </c>
      <c r="M204" s="6">
        <v>0</v>
      </c>
      <c r="N204" s="6">
        <v>0</v>
      </c>
      <c r="O204" s="6">
        <v>0</v>
      </c>
      <c r="P204" s="6"/>
      <c r="Q204" s="2" t="s">
        <v>77</v>
      </c>
    </row>
    <row r="205" spans="1:23" x14ac:dyDescent="0.35">
      <c r="A205" s="113" t="s">
        <v>17</v>
      </c>
      <c r="E205">
        <v>11</v>
      </c>
      <c r="I205" s="2" t="s">
        <v>17</v>
      </c>
      <c r="J205" s="6" t="e">
        <v>#DIV/0!</v>
      </c>
      <c r="K205" s="6">
        <v>0</v>
      </c>
      <c r="L205" s="6">
        <v>0</v>
      </c>
      <c r="M205" s="6">
        <v>0.11956521739130435</v>
      </c>
      <c r="N205" s="6">
        <v>0</v>
      </c>
      <c r="O205" s="6">
        <v>0</v>
      </c>
      <c r="P205" s="6"/>
      <c r="Q205" s="2" t="s">
        <v>17</v>
      </c>
      <c r="U205" t="e">
        <v>#DIV/0!</v>
      </c>
    </row>
    <row r="206" spans="1:23" x14ac:dyDescent="0.35">
      <c r="A206" s="113">
        <v>1</v>
      </c>
      <c r="G206">
        <v>1</v>
      </c>
      <c r="I206" s="2">
        <v>1</v>
      </c>
      <c r="J206" s="6" t="e">
        <v>#DIV/0!</v>
      </c>
      <c r="K206" s="6">
        <v>0</v>
      </c>
      <c r="L206" s="6">
        <v>0</v>
      </c>
      <c r="M206" s="6">
        <v>0</v>
      </c>
      <c r="N206" s="6">
        <v>0</v>
      </c>
      <c r="O206" s="6">
        <v>1.1627906976744186E-2</v>
      </c>
      <c r="P206" s="6"/>
      <c r="Q206" s="2">
        <v>1</v>
      </c>
      <c r="W206">
        <v>1</v>
      </c>
    </row>
    <row r="207" spans="1:23" x14ac:dyDescent="0.35">
      <c r="A207" s="113" t="s">
        <v>1</v>
      </c>
      <c r="C207">
        <v>79</v>
      </c>
      <c r="D207">
        <v>94</v>
      </c>
      <c r="E207">
        <v>92</v>
      </c>
      <c r="F207">
        <v>81</v>
      </c>
      <c r="G207">
        <v>86</v>
      </c>
      <c r="I207" s="2" t="s">
        <v>1</v>
      </c>
      <c r="J207" s="6" t="e">
        <v>#DIV/0!</v>
      </c>
      <c r="K207" s="6">
        <v>1</v>
      </c>
      <c r="L207" s="6">
        <v>1</v>
      </c>
      <c r="M207" s="6">
        <v>1</v>
      </c>
      <c r="N207" s="6">
        <v>1</v>
      </c>
      <c r="O207" s="6">
        <v>1</v>
      </c>
      <c r="Q207" s="2" t="s">
        <v>1</v>
      </c>
      <c r="S207">
        <v>8.9376811594202898</v>
      </c>
      <c r="T207">
        <v>8.915232558139536</v>
      </c>
      <c r="U207">
        <v>8.9307407407407418</v>
      </c>
      <c r="V207">
        <v>9.3009876543209877</v>
      </c>
      <c r="W207">
        <v>8.8883720930232553</v>
      </c>
    </row>
    <row r="209" spans="1:23" ht="43.5" x14ac:dyDescent="0.35">
      <c r="A209" s="112" t="s">
        <v>94</v>
      </c>
      <c r="B209" s="1" t="s">
        <v>130</v>
      </c>
      <c r="I209" s="1" t="s">
        <v>94</v>
      </c>
      <c r="J209" s="1" t="s">
        <v>130</v>
      </c>
      <c r="Q209" s="1" t="s">
        <v>95</v>
      </c>
      <c r="R209" s="1" t="s">
        <v>130</v>
      </c>
    </row>
    <row r="210" spans="1:23" x14ac:dyDescent="0.35">
      <c r="A210" s="112" t="s">
        <v>129</v>
      </c>
      <c r="B210">
        <v>2018</v>
      </c>
      <c r="C210">
        <v>2019</v>
      </c>
      <c r="D210">
        <v>2020</v>
      </c>
      <c r="E210">
        <v>2021</v>
      </c>
      <c r="F210">
        <v>2022</v>
      </c>
      <c r="G210">
        <v>2023</v>
      </c>
      <c r="I210" s="1" t="s">
        <v>129</v>
      </c>
      <c r="J210">
        <v>2018</v>
      </c>
      <c r="K210">
        <v>2019</v>
      </c>
      <c r="L210">
        <v>2020</v>
      </c>
      <c r="M210">
        <v>2021</v>
      </c>
      <c r="N210">
        <v>2022</v>
      </c>
      <c r="O210">
        <v>2023</v>
      </c>
      <c r="Q210" s="1" t="s">
        <v>129</v>
      </c>
      <c r="R210">
        <v>2018</v>
      </c>
      <c r="S210">
        <v>2019</v>
      </c>
      <c r="T210">
        <v>2020</v>
      </c>
      <c r="U210">
        <v>2021</v>
      </c>
      <c r="V210">
        <v>2022</v>
      </c>
      <c r="W210">
        <v>2023</v>
      </c>
    </row>
    <row r="211" spans="1:23" x14ac:dyDescent="0.35">
      <c r="A211" s="113">
        <v>0</v>
      </c>
      <c r="C211">
        <v>2</v>
      </c>
      <c r="D211">
        <v>4</v>
      </c>
      <c r="E211">
        <v>6</v>
      </c>
      <c r="F211">
        <v>3</v>
      </c>
      <c r="G211">
        <v>2</v>
      </c>
      <c r="I211" s="2">
        <v>0</v>
      </c>
      <c r="J211" s="6" t="e">
        <v>#DIV/0!</v>
      </c>
      <c r="K211" s="6">
        <v>2.6315789473684209E-2</v>
      </c>
      <c r="L211" s="6">
        <v>4.1237113402061855E-2</v>
      </c>
      <c r="M211" s="6">
        <v>6.3829787234042548E-2</v>
      </c>
      <c r="N211" s="6">
        <v>3.4090909090909088E-2</v>
      </c>
      <c r="O211" s="6">
        <v>2.4691358024691357E-2</v>
      </c>
      <c r="P211" s="6"/>
      <c r="Q211" s="2">
        <v>0</v>
      </c>
      <c r="S211">
        <v>0</v>
      </c>
      <c r="T211">
        <v>0</v>
      </c>
      <c r="U211">
        <v>0</v>
      </c>
      <c r="V211">
        <v>0</v>
      </c>
      <c r="W211">
        <v>0</v>
      </c>
    </row>
    <row r="212" spans="1:23" x14ac:dyDescent="0.35">
      <c r="A212" s="113">
        <v>3.33</v>
      </c>
      <c r="C212">
        <v>3</v>
      </c>
      <c r="D212">
        <v>7</v>
      </c>
      <c r="E212">
        <v>2</v>
      </c>
      <c r="F212">
        <v>3</v>
      </c>
      <c r="G212">
        <v>5</v>
      </c>
      <c r="I212" s="2">
        <v>3.33</v>
      </c>
      <c r="J212" s="6" t="e">
        <v>#DIV/0!</v>
      </c>
      <c r="K212" s="6">
        <v>3.9473684210526314E-2</v>
      </c>
      <c r="L212" s="6">
        <v>7.2164948453608241E-2</v>
      </c>
      <c r="M212" s="6">
        <v>2.1276595744680851E-2</v>
      </c>
      <c r="N212" s="6">
        <v>3.4090909090909088E-2</v>
      </c>
      <c r="O212" s="6">
        <v>6.1728395061728392E-2</v>
      </c>
      <c r="P212" s="6"/>
      <c r="Q212" s="2">
        <v>3.33</v>
      </c>
      <c r="S212">
        <v>3.33</v>
      </c>
      <c r="T212">
        <v>3.3299999999999992</v>
      </c>
      <c r="U212">
        <v>3.33</v>
      </c>
      <c r="V212">
        <v>3.33</v>
      </c>
      <c r="W212">
        <v>3.3299999999999996</v>
      </c>
    </row>
    <row r="213" spans="1:23" x14ac:dyDescent="0.35">
      <c r="A213" s="113">
        <v>6.67</v>
      </c>
      <c r="C213">
        <v>20</v>
      </c>
      <c r="D213">
        <v>31</v>
      </c>
      <c r="E213">
        <v>26</v>
      </c>
      <c r="F213">
        <v>23</v>
      </c>
      <c r="G213">
        <v>20</v>
      </c>
      <c r="I213" s="2">
        <v>6.67</v>
      </c>
      <c r="J213" s="6" t="e">
        <v>#DIV/0!</v>
      </c>
      <c r="K213" s="6">
        <v>0.26315789473684209</v>
      </c>
      <c r="L213" s="6">
        <v>0.31958762886597936</v>
      </c>
      <c r="M213" s="6">
        <v>0.27659574468085107</v>
      </c>
      <c r="N213" s="6">
        <v>0.26136363636363635</v>
      </c>
      <c r="O213" s="6">
        <v>0.24691358024691357</v>
      </c>
      <c r="P213" s="6"/>
      <c r="Q213" s="2">
        <v>6.67</v>
      </c>
      <c r="S213">
        <v>6.67</v>
      </c>
      <c r="T213">
        <v>6.6699999999999955</v>
      </c>
      <c r="U213">
        <v>6.6699999999999973</v>
      </c>
      <c r="V213">
        <v>6.669999999999999</v>
      </c>
      <c r="W213">
        <v>6.67</v>
      </c>
    </row>
    <row r="214" spans="1:23" x14ac:dyDescent="0.35">
      <c r="A214" s="113">
        <v>10</v>
      </c>
      <c r="C214">
        <v>50</v>
      </c>
      <c r="D214">
        <v>53</v>
      </c>
      <c r="E214">
        <v>55</v>
      </c>
      <c r="F214">
        <v>59</v>
      </c>
      <c r="G214">
        <v>54</v>
      </c>
      <c r="I214" s="2">
        <v>10</v>
      </c>
      <c r="J214" s="6" t="e">
        <v>#DIV/0!</v>
      </c>
      <c r="K214" s="6">
        <v>0.65789473684210531</v>
      </c>
      <c r="L214" s="6">
        <v>0.54639175257731953</v>
      </c>
      <c r="M214" s="6">
        <v>0.58510638297872342</v>
      </c>
      <c r="N214" s="6">
        <v>0.67045454545454541</v>
      </c>
      <c r="O214" s="6">
        <v>0.66666666666666663</v>
      </c>
      <c r="P214" s="6"/>
      <c r="Q214" s="2">
        <v>10</v>
      </c>
      <c r="S214">
        <v>10</v>
      </c>
      <c r="T214">
        <v>10</v>
      </c>
      <c r="U214">
        <v>10</v>
      </c>
      <c r="V214">
        <v>10</v>
      </c>
      <c r="W214">
        <v>10</v>
      </c>
    </row>
    <row r="215" spans="1:23" x14ac:dyDescent="0.35">
      <c r="A215" s="113" t="s">
        <v>128</v>
      </c>
      <c r="C215">
        <v>1</v>
      </c>
      <c r="D215">
        <v>2</v>
      </c>
      <c r="I215" s="2" t="s">
        <v>128</v>
      </c>
      <c r="J215" s="6" t="e">
        <v>#DIV/0!</v>
      </c>
      <c r="K215" s="6">
        <v>1.3157894736842105E-2</v>
      </c>
      <c r="L215" s="6">
        <v>2.0618556701030927E-2</v>
      </c>
      <c r="M215" s="6">
        <v>0</v>
      </c>
      <c r="N215" s="6">
        <v>0</v>
      </c>
      <c r="O215" s="6">
        <v>0</v>
      </c>
      <c r="P215" s="6"/>
      <c r="Q215" s="2" t="s">
        <v>128</v>
      </c>
      <c r="S215" t="e">
        <v>#DIV/0!</v>
      </c>
      <c r="T215" t="e">
        <v>#DIV/0!</v>
      </c>
    </row>
    <row r="216" spans="1:23" x14ac:dyDescent="0.35">
      <c r="A216" s="113" t="s">
        <v>77</v>
      </c>
      <c r="I216" s="2" t="s">
        <v>77</v>
      </c>
      <c r="J216" s="6" t="e">
        <v>#DIV/0!</v>
      </c>
      <c r="K216" s="6">
        <v>0</v>
      </c>
      <c r="L216" s="6">
        <v>0</v>
      </c>
      <c r="M216" s="6">
        <v>0</v>
      </c>
      <c r="N216" s="6">
        <v>0</v>
      </c>
      <c r="O216" s="6">
        <v>0</v>
      </c>
      <c r="P216" s="6"/>
      <c r="Q216" s="2" t="s">
        <v>77</v>
      </c>
    </row>
    <row r="217" spans="1:23" x14ac:dyDescent="0.35">
      <c r="A217" s="113" t="s">
        <v>17</v>
      </c>
      <c r="E217">
        <v>5</v>
      </c>
      <c r="I217" s="2" t="s">
        <v>17</v>
      </c>
      <c r="J217" s="6" t="e">
        <v>#DIV/0!</v>
      </c>
      <c r="K217" s="6">
        <v>0</v>
      </c>
      <c r="L217" s="6">
        <v>0</v>
      </c>
      <c r="M217" s="6">
        <v>5.3191489361702128E-2</v>
      </c>
      <c r="N217" s="6">
        <v>0</v>
      </c>
      <c r="O217" s="6">
        <v>0</v>
      </c>
      <c r="P217" s="6"/>
      <c r="Q217" s="2" t="s">
        <v>17</v>
      </c>
      <c r="U217" t="e">
        <v>#DIV/0!</v>
      </c>
    </row>
    <row r="218" spans="1:23" x14ac:dyDescent="0.35">
      <c r="A218" s="113" t="s">
        <v>1</v>
      </c>
      <c r="C218">
        <v>76</v>
      </c>
      <c r="D218">
        <v>97</v>
      </c>
      <c r="E218">
        <v>94</v>
      </c>
      <c r="F218">
        <v>88</v>
      </c>
      <c r="G218">
        <v>81</v>
      </c>
      <c r="I218" s="2" t="s">
        <v>1</v>
      </c>
      <c r="J218" s="6" t="e">
        <v>#DIV/0!</v>
      </c>
      <c r="K218" s="6">
        <v>1</v>
      </c>
      <c r="L218" s="6">
        <v>1</v>
      </c>
      <c r="M218" s="6">
        <v>1</v>
      </c>
      <c r="N218" s="6">
        <v>1</v>
      </c>
      <c r="O218" s="6">
        <v>1</v>
      </c>
      <c r="P218" s="6"/>
      <c r="Q218" s="2" t="s">
        <v>1</v>
      </c>
      <c r="S218">
        <v>8.5785333333333327</v>
      </c>
      <c r="T218">
        <v>8.0008421052631551</v>
      </c>
      <c r="U218">
        <v>8.2031460674157302</v>
      </c>
      <c r="V218">
        <v>8.5613636363636356</v>
      </c>
      <c r="W218">
        <v>8.519135802469135</v>
      </c>
    </row>
    <row r="221" spans="1:23" ht="43.5" x14ac:dyDescent="0.35">
      <c r="A221" s="112" t="s">
        <v>96</v>
      </c>
      <c r="B221" s="1" t="s">
        <v>130</v>
      </c>
      <c r="I221" s="1" t="s">
        <v>96</v>
      </c>
      <c r="J221" s="1" t="s">
        <v>130</v>
      </c>
      <c r="Q221" s="1" t="s">
        <v>97</v>
      </c>
      <c r="R221" s="1" t="s">
        <v>130</v>
      </c>
    </row>
    <row r="222" spans="1:23" x14ac:dyDescent="0.35">
      <c r="A222" s="112" t="s">
        <v>129</v>
      </c>
      <c r="B222">
        <v>2018</v>
      </c>
      <c r="C222">
        <v>2019</v>
      </c>
      <c r="D222">
        <v>2020</v>
      </c>
      <c r="E222">
        <v>2021</v>
      </c>
      <c r="F222">
        <v>2022</v>
      </c>
      <c r="G222">
        <v>2023</v>
      </c>
      <c r="I222" s="1" t="s">
        <v>129</v>
      </c>
      <c r="J222">
        <v>2018</v>
      </c>
      <c r="K222">
        <v>2019</v>
      </c>
      <c r="L222">
        <v>2020</v>
      </c>
      <c r="M222">
        <v>2021</v>
      </c>
      <c r="N222">
        <v>2022</v>
      </c>
      <c r="O222">
        <v>2023</v>
      </c>
      <c r="Q222" s="1" t="s">
        <v>129</v>
      </c>
      <c r="R222">
        <v>2018</v>
      </c>
      <c r="S222">
        <v>2019</v>
      </c>
      <c r="T222">
        <v>2020</v>
      </c>
      <c r="U222">
        <v>2021</v>
      </c>
      <c r="V222">
        <v>2022</v>
      </c>
      <c r="W222">
        <v>2023</v>
      </c>
    </row>
    <row r="223" spans="1:23" x14ac:dyDescent="0.35">
      <c r="A223" s="113">
        <v>0</v>
      </c>
      <c r="C223">
        <v>4</v>
      </c>
      <c r="D223">
        <v>6</v>
      </c>
      <c r="E223">
        <v>6</v>
      </c>
      <c r="F223">
        <v>3</v>
      </c>
      <c r="G223">
        <v>2</v>
      </c>
      <c r="I223" s="2">
        <v>0</v>
      </c>
      <c r="J223" s="6" t="e">
        <v>#DIV/0!</v>
      </c>
      <c r="K223" s="6">
        <v>0.05</v>
      </c>
      <c r="L223" s="6">
        <v>6.25E-2</v>
      </c>
      <c r="M223" s="6">
        <v>6.4516129032258063E-2</v>
      </c>
      <c r="N223" s="6">
        <v>3.4090909090909088E-2</v>
      </c>
      <c r="O223" s="6">
        <v>2.2727272727272728E-2</v>
      </c>
      <c r="P223" s="6"/>
      <c r="Q223" s="2">
        <v>0</v>
      </c>
      <c r="S223">
        <v>0</v>
      </c>
      <c r="T223">
        <v>0</v>
      </c>
      <c r="U223">
        <v>0</v>
      </c>
      <c r="V223">
        <v>0</v>
      </c>
      <c r="W223">
        <v>0</v>
      </c>
    </row>
    <row r="224" spans="1:23" x14ac:dyDescent="0.35">
      <c r="A224" s="113">
        <v>3.33</v>
      </c>
      <c r="C224">
        <v>6</v>
      </c>
      <c r="D224">
        <v>7</v>
      </c>
      <c r="E224">
        <v>6</v>
      </c>
      <c r="F224">
        <v>8</v>
      </c>
      <c r="G224">
        <v>1</v>
      </c>
      <c r="I224" s="2">
        <v>3.33</v>
      </c>
      <c r="J224" s="6" t="e">
        <v>#DIV/0!</v>
      </c>
      <c r="K224" s="6">
        <v>7.4999999999999997E-2</v>
      </c>
      <c r="L224" s="6">
        <v>7.2916666666666671E-2</v>
      </c>
      <c r="M224" s="6">
        <v>6.4516129032258063E-2</v>
      </c>
      <c r="N224" s="6">
        <v>9.0909090909090912E-2</v>
      </c>
      <c r="O224" s="6">
        <v>1.1363636363636364E-2</v>
      </c>
      <c r="P224" s="6"/>
      <c r="Q224" s="2">
        <v>3.33</v>
      </c>
      <c r="S224">
        <v>3.3299999999999996</v>
      </c>
      <c r="T224">
        <v>3.3299999999999992</v>
      </c>
      <c r="U224">
        <v>3.3299999999999996</v>
      </c>
      <c r="V224">
        <v>3.3299999999999992</v>
      </c>
      <c r="W224">
        <v>3.33</v>
      </c>
    </row>
    <row r="225" spans="1:23" x14ac:dyDescent="0.35">
      <c r="A225" s="113">
        <v>6.67</v>
      </c>
      <c r="C225">
        <v>31</v>
      </c>
      <c r="D225">
        <v>39</v>
      </c>
      <c r="E225">
        <v>33</v>
      </c>
      <c r="F225">
        <v>38</v>
      </c>
      <c r="G225">
        <v>17</v>
      </c>
      <c r="I225" s="2">
        <v>6.67</v>
      </c>
      <c r="J225" s="6" t="e">
        <v>#DIV/0!</v>
      </c>
      <c r="K225" s="6">
        <v>0.38750000000000001</v>
      </c>
      <c r="L225" s="6">
        <v>0.40625</v>
      </c>
      <c r="M225" s="6">
        <v>0.35483870967741937</v>
      </c>
      <c r="N225" s="6">
        <v>0.43181818181818182</v>
      </c>
      <c r="O225" s="6">
        <v>0.19318181818181818</v>
      </c>
      <c r="P225" s="6"/>
      <c r="Q225" s="2">
        <v>6.67</v>
      </c>
      <c r="S225">
        <v>6.6699999999999955</v>
      </c>
      <c r="T225">
        <v>6.6699999999999937</v>
      </c>
      <c r="U225">
        <v>6.6699999999999955</v>
      </c>
      <c r="V225">
        <v>6.6699999999999946</v>
      </c>
      <c r="W225">
        <v>6.6700000000000008</v>
      </c>
    </row>
    <row r="226" spans="1:23" x14ac:dyDescent="0.35">
      <c r="A226" s="113">
        <v>10</v>
      </c>
      <c r="C226">
        <v>35</v>
      </c>
      <c r="D226">
        <v>33</v>
      </c>
      <c r="E226">
        <v>39</v>
      </c>
      <c r="F226">
        <v>39</v>
      </c>
      <c r="G226">
        <v>68</v>
      </c>
      <c r="I226" s="2">
        <v>10</v>
      </c>
      <c r="J226" s="6" t="e">
        <v>#DIV/0!</v>
      </c>
      <c r="K226" s="6">
        <v>0.4375</v>
      </c>
      <c r="L226" s="6">
        <v>0.34375</v>
      </c>
      <c r="M226" s="6">
        <v>0.41935483870967744</v>
      </c>
      <c r="N226" s="6">
        <v>0.44318181818181818</v>
      </c>
      <c r="O226" s="6">
        <v>0.77272727272727271</v>
      </c>
      <c r="P226" s="6"/>
      <c r="Q226" s="2">
        <v>10</v>
      </c>
      <c r="S226">
        <v>10</v>
      </c>
      <c r="T226">
        <v>10</v>
      </c>
      <c r="U226">
        <v>10</v>
      </c>
      <c r="V226">
        <v>10</v>
      </c>
      <c r="W226">
        <v>10</v>
      </c>
    </row>
    <row r="227" spans="1:23" x14ac:dyDescent="0.35">
      <c r="A227" s="113" t="s">
        <v>128</v>
      </c>
      <c r="C227">
        <v>4</v>
      </c>
      <c r="D227">
        <v>11</v>
      </c>
      <c r="I227" s="2" t="s">
        <v>128</v>
      </c>
      <c r="J227" s="6" t="e">
        <v>#DIV/0!</v>
      </c>
      <c r="K227" s="6">
        <v>0.05</v>
      </c>
      <c r="L227" s="6">
        <v>0.11458333333333333</v>
      </c>
      <c r="M227" s="6">
        <v>0</v>
      </c>
      <c r="N227" s="6">
        <v>0</v>
      </c>
      <c r="O227" s="6">
        <v>0</v>
      </c>
      <c r="P227" s="6"/>
      <c r="Q227" s="2" t="s">
        <v>128</v>
      </c>
      <c r="S227" t="e">
        <v>#DIV/0!</v>
      </c>
      <c r="T227" t="e">
        <v>#DIV/0!</v>
      </c>
    </row>
    <row r="228" spans="1:23" x14ac:dyDescent="0.35">
      <c r="A228" s="113" t="s">
        <v>77</v>
      </c>
      <c r="I228" s="2" t="s">
        <v>77</v>
      </c>
      <c r="J228" s="6" t="e">
        <v>#DIV/0!</v>
      </c>
      <c r="K228" s="6">
        <v>0</v>
      </c>
      <c r="L228" s="6">
        <v>0</v>
      </c>
      <c r="M228" s="6">
        <v>0</v>
      </c>
      <c r="N228" s="6">
        <v>0</v>
      </c>
      <c r="O228" s="6">
        <v>0</v>
      </c>
      <c r="P228" s="6"/>
      <c r="Q228" s="2" t="s">
        <v>77</v>
      </c>
    </row>
    <row r="229" spans="1:23" x14ac:dyDescent="0.35">
      <c r="A229" s="113" t="s">
        <v>17</v>
      </c>
      <c r="E229">
        <v>9</v>
      </c>
      <c r="I229" s="2" t="s">
        <v>17</v>
      </c>
      <c r="J229" s="6" t="e">
        <v>#DIV/0!</v>
      </c>
      <c r="K229" s="6">
        <v>0</v>
      </c>
      <c r="L229" s="6">
        <v>0</v>
      </c>
      <c r="M229" s="6">
        <v>9.6774193548387094E-2</v>
      </c>
      <c r="N229" s="6">
        <v>0</v>
      </c>
      <c r="O229" s="6">
        <v>0</v>
      </c>
      <c r="P229" s="6"/>
      <c r="Q229" s="2" t="s">
        <v>17</v>
      </c>
      <c r="U229" t="e">
        <v>#DIV/0!</v>
      </c>
    </row>
    <row r="230" spans="1:23" x14ac:dyDescent="0.35">
      <c r="A230" s="113" t="s">
        <v>1</v>
      </c>
      <c r="C230">
        <v>80</v>
      </c>
      <c r="D230">
        <v>96</v>
      </c>
      <c r="E230">
        <v>93</v>
      </c>
      <c r="F230">
        <v>88</v>
      </c>
      <c r="G230">
        <v>88</v>
      </c>
      <c r="I230" s="2" t="s">
        <v>1</v>
      </c>
      <c r="J230" s="6" t="e">
        <v>#DIV/0!</v>
      </c>
      <c r="K230" s="6">
        <v>1</v>
      </c>
      <c r="L230" s="6">
        <v>1</v>
      </c>
      <c r="M230" s="6">
        <v>1</v>
      </c>
      <c r="N230" s="6">
        <v>1</v>
      </c>
      <c r="O230" s="6">
        <v>1</v>
      </c>
      <c r="P230" s="6"/>
      <c r="Q230" s="2" t="s">
        <v>1</v>
      </c>
      <c r="S230">
        <v>7.5888157894736814</v>
      </c>
      <c r="T230">
        <v>7.216941176470586</v>
      </c>
      <c r="U230">
        <v>7.5010714285714259</v>
      </c>
      <c r="V230">
        <v>7.6147727272727259</v>
      </c>
      <c r="W230">
        <v>9.0536363636363646</v>
      </c>
    </row>
    <row r="233" spans="1:23" ht="43.5" x14ac:dyDescent="0.35">
      <c r="A233" s="112" t="s">
        <v>98</v>
      </c>
      <c r="B233" s="1" t="s">
        <v>130</v>
      </c>
      <c r="I233" s="1" t="s">
        <v>98</v>
      </c>
      <c r="J233" s="1" t="s">
        <v>130</v>
      </c>
      <c r="Q233" s="1" t="s">
        <v>99</v>
      </c>
      <c r="R233" s="1" t="s">
        <v>130</v>
      </c>
    </row>
    <row r="234" spans="1:23" x14ac:dyDescent="0.35">
      <c r="A234" s="112" t="s">
        <v>129</v>
      </c>
      <c r="B234">
        <v>2018</v>
      </c>
      <c r="C234">
        <v>2019</v>
      </c>
      <c r="D234">
        <v>2020</v>
      </c>
      <c r="E234">
        <v>2021</v>
      </c>
      <c r="F234">
        <v>2022</v>
      </c>
      <c r="G234">
        <v>2023</v>
      </c>
      <c r="I234" s="1" t="s">
        <v>129</v>
      </c>
      <c r="J234">
        <v>2018</v>
      </c>
      <c r="K234">
        <v>2019</v>
      </c>
      <c r="L234">
        <v>2020</v>
      </c>
      <c r="M234">
        <v>2021</v>
      </c>
      <c r="N234">
        <v>2022</v>
      </c>
      <c r="O234">
        <v>2023</v>
      </c>
      <c r="Q234" s="1" t="s">
        <v>129</v>
      </c>
      <c r="R234">
        <v>2018</v>
      </c>
      <c r="S234">
        <v>2019</v>
      </c>
      <c r="T234">
        <v>2020</v>
      </c>
      <c r="U234">
        <v>2021</v>
      </c>
      <c r="V234">
        <v>2022</v>
      </c>
      <c r="W234">
        <v>2023</v>
      </c>
    </row>
    <row r="235" spans="1:23" x14ac:dyDescent="0.35">
      <c r="A235" s="113">
        <v>0</v>
      </c>
      <c r="C235">
        <v>3</v>
      </c>
      <c r="D235">
        <v>6</v>
      </c>
      <c r="E235">
        <v>3</v>
      </c>
      <c r="F235">
        <v>1</v>
      </c>
      <c r="G235">
        <v>1</v>
      </c>
      <c r="I235" s="2">
        <v>0</v>
      </c>
      <c r="J235" s="6" t="e">
        <v>#DIV/0!</v>
      </c>
      <c r="K235" s="6">
        <v>3.9473684210526314E-2</v>
      </c>
      <c r="L235" s="6">
        <v>6.25E-2</v>
      </c>
      <c r="M235" s="6">
        <v>3.2258064516129031E-2</v>
      </c>
      <c r="N235" s="6">
        <v>1.2195121951219513E-2</v>
      </c>
      <c r="O235" s="6">
        <v>1.1764705882352941E-2</v>
      </c>
      <c r="P235" s="6"/>
      <c r="Q235" s="2">
        <v>0</v>
      </c>
      <c r="S235">
        <v>0</v>
      </c>
      <c r="T235">
        <v>0</v>
      </c>
      <c r="U235">
        <v>0</v>
      </c>
      <c r="V235">
        <v>0</v>
      </c>
      <c r="W235">
        <v>0</v>
      </c>
    </row>
    <row r="236" spans="1:23" x14ac:dyDescent="0.35">
      <c r="A236" s="113">
        <v>3.33</v>
      </c>
      <c r="C236">
        <v>2</v>
      </c>
      <c r="D236">
        <v>8</v>
      </c>
      <c r="E236">
        <v>2</v>
      </c>
      <c r="F236">
        <v>3</v>
      </c>
      <c r="I236" s="2">
        <v>3.33</v>
      </c>
      <c r="J236" s="6" t="e">
        <v>#DIV/0!</v>
      </c>
      <c r="K236" s="6">
        <v>2.6315789473684209E-2</v>
      </c>
      <c r="L236" s="6">
        <v>8.3333333333333329E-2</v>
      </c>
      <c r="M236" s="6">
        <v>2.1505376344086023E-2</v>
      </c>
      <c r="N236" s="6">
        <v>3.6585365853658534E-2</v>
      </c>
      <c r="O236" s="6">
        <v>0</v>
      </c>
      <c r="P236" s="6"/>
      <c r="Q236" s="2">
        <v>3.33</v>
      </c>
      <c r="S236">
        <v>3.33</v>
      </c>
      <c r="T236">
        <v>3.3299999999999992</v>
      </c>
      <c r="U236">
        <v>3.33</v>
      </c>
      <c r="V236">
        <v>3.33</v>
      </c>
    </row>
    <row r="237" spans="1:23" x14ac:dyDescent="0.35">
      <c r="A237" s="113">
        <v>6.67</v>
      </c>
      <c r="C237">
        <v>17</v>
      </c>
      <c r="D237">
        <v>26</v>
      </c>
      <c r="E237">
        <v>34</v>
      </c>
      <c r="F237">
        <v>28</v>
      </c>
      <c r="G237">
        <v>15</v>
      </c>
      <c r="I237" s="2">
        <v>6.67</v>
      </c>
      <c r="J237" s="6" t="e">
        <v>#DIV/0!</v>
      </c>
      <c r="K237" s="6">
        <v>0.22368421052631579</v>
      </c>
      <c r="L237" s="6">
        <v>0.27083333333333331</v>
      </c>
      <c r="M237" s="6">
        <v>0.36559139784946237</v>
      </c>
      <c r="N237" s="6">
        <v>0.34146341463414637</v>
      </c>
      <c r="O237" s="6">
        <v>0.17647058823529413</v>
      </c>
      <c r="P237" s="6"/>
      <c r="Q237" s="2">
        <v>6.67</v>
      </c>
      <c r="S237">
        <v>6.6700000000000008</v>
      </c>
      <c r="T237">
        <v>6.6699999999999973</v>
      </c>
      <c r="U237">
        <v>6.6699999999999946</v>
      </c>
      <c r="V237">
        <v>6.6699999999999964</v>
      </c>
      <c r="W237">
        <v>6.6700000000000008</v>
      </c>
    </row>
    <row r="238" spans="1:23" x14ac:dyDescent="0.35">
      <c r="A238" s="113">
        <v>10</v>
      </c>
      <c r="C238">
        <v>46</v>
      </c>
      <c r="D238">
        <v>42</v>
      </c>
      <c r="E238">
        <v>46</v>
      </c>
      <c r="F238">
        <v>50</v>
      </c>
      <c r="G238">
        <v>69</v>
      </c>
      <c r="I238" s="2">
        <v>10</v>
      </c>
      <c r="J238" s="6" t="e">
        <v>#DIV/0!</v>
      </c>
      <c r="K238" s="6">
        <v>0.60526315789473684</v>
      </c>
      <c r="L238" s="6">
        <v>0.4375</v>
      </c>
      <c r="M238" s="6">
        <v>0.4946236559139785</v>
      </c>
      <c r="N238" s="6">
        <v>0.6097560975609756</v>
      </c>
      <c r="O238" s="6">
        <v>0.81176470588235294</v>
      </c>
      <c r="P238" s="6"/>
      <c r="Q238" s="2">
        <v>10</v>
      </c>
      <c r="S238">
        <v>10</v>
      </c>
      <c r="T238">
        <v>10</v>
      </c>
      <c r="U238">
        <v>10</v>
      </c>
      <c r="V238">
        <v>10</v>
      </c>
      <c r="W238">
        <v>10</v>
      </c>
    </row>
    <row r="239" spans="1:23" x14ac:dyDescent="0.35">
      <c r="A239" s="113" t="s">
        <v>128</v>
      </c>
      <c r="C239">
        <v>8</v>
      </c>
      <c r="D239">
        <v>14</v>
      </c>
      <c r="I239" s="2" t="s">
        <v>128</v>
      </c>
      <c r="J239" s="6" t="e">
        <v>#DIV/0!</v>
      </c>
      <c r="K239" s="6">
        <v>0.10526315789473684</v>
      </c>
      <c r="L239" s="6">
        <v>0.14583333333333334</v>
      </c>
      <c r="M239" s="6">
        <v>0</v>
      </c>
      <c r="N239" s="6">
        <v>0</v>
      </c>
      <c r="O239" s="6">
        <v>0</v>
      </c>
      <c r="P239" s="6"/>
      <c r="Q239" s="2" t="s">
        <v>128</v>
      </c>
      <c r="S239" t="e">
        <v>#DIV/0!</v>
      </c>
      <c r="T239" t="e">
        <v>#DIV/0!</v>
      </c>
    </row>
    <row r="240" spans="1:23" x14ac:dyDescent="0.35">
      <c r="A240" s="113" t="s">
        <v>77</v>
      </c>
      <c r="I240" s="2" t="s">
        <v>77</v>
      </c>
      <c r="J240" s="6" t="e">
        <v>#DIV/0!</v>
      </c>
      <c r="K240" s="6">
        <v>0</v>
      </c>
      <c r="L240" s="6">
        <v>0</v>
      </c>
      <c r="M240" s="6">
        <v>0</v>
      </c>
      <c r="N240" s="6">
        <v>0</v>
      </c>
      <c r="O240" s="6">
        <v>0</v>
      </c>
      <c r="P240" s="6"/>
      <c r="Q240" s="2" t="s">
        <v>77</v>
      </c>
    </row>
    <row r="241" spans="1:23" x14ac:dyDescent="0.35">
      <c r="A241" s="113" t="s">
        <v>17</v>
      </c>
      <c r="E241">
        <v>8</v>
      </c>
      <c r="I241" s="2" t="s">
        <v>17</v>
      </c>
      <c r="J241" s="6" t="e">
        <v>#DIV/0!</v>
      </c>
      <c r="K241" s="6">
        <v>0</v>
      </c>
      <c r="L241" s="6">
        <v>0</v>
      </c>
      <c r="M241" s="6">
        <v>8.6021505376344093E-2</v>
      </c>
      <c r="N241" s="6">
        <v>0</v>
      </c>
      <c r="O241" s="6">
        <v>0</v>
      </c>
      <c r="P241" s="6"/>
      <c r="Q241" s="2" t="s">
        <v>17</v>
      </c>
      <c r="U241" t="e">
        <v>#DIV/0!</v>
      </c>
    </row>
    <row r="242" spans="1:23" x14ac:dyDescent="0.35">
      <c r="A242" s="113" t="s">
        <v>1</v>
      </c>
      <c r="C242">
        <v>76</v>
      </c>
      <c r="D242">
        <v>96</v>
      </c>
      <c r="E242">
        <v>93</v>
      </c>
      <c r="F242">
        <v>82</v>
      </c>
      <c r="G242">
        <v>85</v>
      </c>
      <c r="I242" s="2" t="s">
        <v>1</v>
      </c>
      <c r="J242" s="6" t="e">
        <v>#DIV/0!</v>
      </c>
      <c r="K242" s="6">
        <v>1</v>
      </c>
      <c r="L242" s="6">
        <v>1</v>
      </c>
      <c r="M242" s="6">
        <v>1</v>
      </c>
      <c r="N242" s="6">
        <v>1</v>
      </c>
      <c r="O242" s="6">
        <v>1</v>
      </c>
      <c r="P242" s="6"/>
      <c r="Q242" s="2" t="s">
        <v>1</v>
      </c>
      <c r="S242">
        <v>8.5301470588235286</v>
      </c>
      <c r="T242">
        <v>7.5617073170731697</v>
      </c>
      <c r="U242">
        <v>8.1581176470588215</v>
      </c>
      <c r="V242">
        <v>8.4969512195121943</v>
      </c>
      <c r="W242">
        <v>9.2947058823529414</v>
      </c>
    </row>
    <row r="245" spans="1:23" ht="58" x14ac:dyDescent="0.35">
      <c r="A245" s="112" t="s">
        <v>100</v>
      </c>
      <c r="B245" s="1" t="s">
        <v>130</v>
      </c>
      <c r="I245" s="1" t="s">
        <v>100</v>
      </c>
      <c r="J245" s="1" t="s">
        <v>130</v>
      </c>
      <c r="Q245" s="1" t="s">
        <v>101</v>
      </c>
      <c r="R245" s="1" t="s">
        <v>130</v>
      </c>
    </row>
    <row r="246" spans="1:23" x14ac:dyDescent="0.35">
      <c r="A246" s="112" t="s">
        <v>129</v>
      </c>
      <c r="B246">
        <v>2018</v>
      </c>
      <c r="C246">
        <v>2019</v>
      </c>
      <c r="D246">
        <v>2020</v>
      </c>
      <c r="E246">
        <v>2021</v>
      </c>
      <c r="F246">
        <v>2022</v>
      </c>
      <c r="G246">
        <v>2023</v>
      </c>
      <c r="I246" s="1" t="s">
        <v>129</v>
      </c>
      <c r="J246">
        <v>2018</v>
      </c>
      <c r="K246">
        <v>2019</v>
      </c>
      <c r="L246">
        <v>2020</v>
      </c>
      <c r="M246">
        <v>2021</v>
      </c>
      <c r="N246">
        <v>2022</v>
      </c>
      <c r="O246">
        <v>2023</v>
      </c>
      <c r="Q246" s="1" t="s">
        <v>129</v>
      </c>
      <c r="R246">
        <v>2018</v>
      </c>
      <c r="S246">
        <v>2019</v>
      </c>
      <c r="T246">
        <v>2020</v>
      </c>
      <c r="U246">
        <v>2021</v>
      </c>
      <c r="V246">
        <v>2022</v>
      </c>
      <c r="W246">
        <v>2023</v>
      </c>
    </row>
    <row r="247" spans="1:23" x14ac:dyDescent="0.35">
      <c r="A247" s="113">
        <v>0</v>
      </c>
      <c r="D247">
        <v>3</v>
      </c>
      <c r="E247">
        <v>5</v>
      </c>
      <c r="F247">
        <v>3</v>
      </c>
      <c r="I247" s="2">
        <v>0</v>
      </c>
      <c r="J247" s="6" t="e">
        <v>#DIV/0!</v>
      </c>
      <c r="K247" s="6">
        <v>0</v>
      </c>
      <c r="L247" s="6">
        <v>3.1578947368421054E-2</v>
      </c>
      <c r="M247" s="6">
        <v>5.3763440860215055E-2</v>
      </c>
      <c r="N247" s="6">
        <v>3.3333333333333333E-2</v>
      </c>
      <c r="O247" s="6">
        <v>0</v>
      </c>
      <c r="P247" s="6"/>
      <c r="Q247" s="2">
        <v>0</v>
      </c>
      <c r="T247">
        <v>0</v>
      </c>
      <c r="U247">
        <v>0</v>
      </c>
      <c r="V247">
        <v>0</v>
      </c>
    </row>
    <row r="248" spans="1:23" x14ac:dyDescent="0.35">
      <c r="A248" s="113">
        <v>3.33</v>
      </c>
      <c r="C248">
        <v>1</v>
      </c>
      <c r="D248">
        <v>2</v>
      </c>
      <c r="E248">
        <v>3</v>
      </c>
      <c r="F248">
        <v>4</v>
      </c>
      <c r="I248" s="2">
        <v>3.33</v>
      </c>
      <c r="J248" s="6" t="e">
        <v>#DIV/0!</v>
      </c>
      <c r="K248" s="6">
        <v>1.2658227848101266E-2</v>
      </c>
      <c r="L248" s="6">
        <v>2.1052631578947368E-2</v>
      </c>
      <c r="M248" s="6">
        <v>3.2258064516129031E-2</v>
      </c>
      <c r="N248" s="6">
        <v>4.4444444444444446E-2</v>
      </c>
      <c r="O248" s="6">
        <v>0</v>
      </c>
      <c r="P248" s="6"/>
      <c r="Q248" s="2">
        <v>3.33</v>
      </c>
      <c r="S248">
        <v>3.33</v>
      </c>
      <c r="T248">
        <v>3.33</v>
      </c>
      <c r="U248">
        <v>3.33</v>
      </c>
      <c r="V248">
        <v>3.33</v>
      </c>
    </row>
    <row r="249" spans="1:23" x14ac:dyDescent="0.35">
      <c r="A249" s="113">
        <v>6.67</v>
      </c>
      <c r="C249">
        <v>21</v>
      </c>
      <c r="D249">
        <v>17</v>
      </c>
      <c r="E249">
        <v>12</v>
      </c>
      <c r="F249">
        <v>12</v>
      </c>
      <c r="G249">
        <v>16</v>
      </c>
      <c r="I249" s="2">
        <v>6.67</v>
      </c>
      <c r="J249" s="6" t="e">
        <v>#DIV/0!</v>
      </c>
      <c r="K249" s="6">
        <v>0.26582278481012656</v>
      </c>
      <c r="L249" s="6">
        <v>0.17894736842105263</v>
      </c>
      <c r="M249" s="6">
        <v>0.12903225806451613</v>
      </c>
      <c r="N249" s="6">
        <v>0.13333333333333333</v>
      </c>
      <c r="O249" s="6">
        <v>0.20779220779220781</v>
      </c>
      <c r="P249" s="6"/>
      <c r="Q249" s="2">
        <v>6.67</v>
      </c>
      <c r="S249">
        <v>6.67</v>
      </c>
      <c r="T249">
        <v>6.6700000000000008</v>
      </c>
      <c r="U249">
        <v>6.6700000000000008</v>
      </c>
      <c r="V249">
        <v>6.6700000000000008</v>
      </c>
      <c r="W249">
        <v>6.6700000000000008</v>
      </c>
    </row>
    <row r="250" spans="1:23" x14ac:dyDescent="0.35">
      <c r="A250" s="113">
        <v>10</v>
      </c>
      <c r="C250">
        <v>53</v>
      </c>
      <c r="D250">
        <v>66</v>
      </c>
      <c r="E250">
        <v>67</v>
      </c>
      <c r="F250">
        <v>71</v>
      </c>
      <c r="G250">
        <v>61</v>
      </c>
      <c r="I250" s="2">
        <v>10</v>
      </c>
      <c r="J250" s="6" t="e">
        <v>#DIV/0!</v>
      </c>
      <c r="K250" s="6">
        <v>0.67088607594936711</v>
      </c>
      <c r="L250" s="6">
        <v>0.69473684210526321</v>
      </c>
      <c r="M250" s="6">
        <v>0.72043010752688175</v>
      </c>
      <c r="N250" s="6">
        <v>0.78888888888888886</v>
      </c>
      <c r="O250" s="6">
        <v>0.79220779220779225</v>
      </c>
      <c r="P250" s="6"/>
      <c r="Q250" s="2">
        <v>10</v>
      </c>
      <c r="S250">
        <v>10</v>
      </c>
      <c r="T250">
        <v>10</v>
      </c>
      <c r="U250">
        <v>10</v>
      </c>
      <c r="V250">
        <v>10</v>
      </c>
      <c r="W250">
        <v>10</v>
      </c>
    </row>
    <row r="251" spans="1:23" x14ac:dyDescent="0.35">
      <c r="A251" s="113" t="s">
        <v>128</v>
      </c>
      <c r="C251">
        <v>4</v>
      </c>
      <c r="D251">
        <v>7</v>
      </c>
      <c r="I251" s="2" t="s">
        <v>128</v>
      </c>
      <c r="J251" s="6" t="e">
        <v>#DIV/0!</v>
      </c>
      <c r="K251" s="6">
        <v>5.0632911392405063E-2</v>
      </c>
      <c r="L251" s="6">
        <v>7.3684210526315783E-2</v>
      </c>
      <c r="M251" s="6">
        <v>0</v>
      </c>
      <c r="N251" s="6">
        <v>0</v>
      </c>
      <c r="O251" s="6">
        <v>0</v>
      </c>
      <c r="P251" s="6"/>
      <c r="Q251" s="2" t="s">
        <v>128</v>
      </c>
      <c r="S251" t="e">
        <v>#DIV/0!</v>
      </c>
      <c r="T251" t="e">
        <v>#DIV/0!</v>
      </c>
    </row>
    <row r="252" spans="1:23" x14ac:dyDescent="0.35">
      <c r="A252" s="113" t="s">
        <v>77</v>
      </c>
      <c r="I252" s="2" t="s">
        <v>77</v>
      </c>
      <c r="J252" s="6" t="e">
        <v>#DIV/0!</v>
      </c>
      <c r="K252" s="6">
        <v>0</v>
      </c>
      <c r="L252" s="6">
        <v>0</v>
      </c>
      <c r="M252" s="6">
        <v>0</v>
      </c>
      <c r="N252" s="6">
        <v>0</v>
      </c>
      <c r="O252" s="6">
        <v>0</v>
      </c>
      <c r="P252" s="6"/>
      <c r="Q252" s="2" t="s">
        <v>77</v>
      </c>
    </row>
    <row r="253" spans="1:23" x14ac:dyDescent="0.35">
      <c r="A253" s="113" t="s">
        <v>17</v>
      </c>
      <c r="E253">
        <v>6</v>
      </c>
      <c r="I253" s="2" t="s">
        <v>17</v>
      </c>
      <c r="J253" s="6" t="e">
        <v>#DIV/0!</v>
      </c>
      <c r="K253" s="6">
        <v>0</v>
      </c>
      <c r="L253" s="6">
        <v>0</v>
      </c>
      <c r="M253" s="6">
        <v>6.4516129032258063E-2</v>
      </c>
      <c r="N253" s="6">
        <v>0</v>
      </c>
      <c r="O253" s="6">
        <v>0</v>
      </c>
      <c r="P253" s="6"/>
      <c r="Q253" s="2" t="s">
        <v>17</v>
      </c>
      <c r="U253" t="e">
        <v>#DIV/0!</v>
      </c>
    </row>
    <row r="254" spans="1:23" x14ac:dyDescent="0.35">
      <c r="A254" s="113" t="s">
        <v>1</v>
      </c>
      <c r="C254">
        <v>79</v>
      </c>
      <c r="D254">
        <v>95</v>
      </c>
      <c r="E254">
        <v>93</v>
      </c>
      <c r="F254">
        <v>90</v>
      </c>
      <c r="G254">
        <v>77</v>
      </c>
      <c r="I254" s="2" t="s">
        <v>1</v>
      </c>
      <c r="J254" s="6" t="e">
        <v>#DIV/0!</v>
      </c>
      <c r="K254" s="6">
        <v>1</v>
      </c>
      <c r="L254" s="6">
        <v>1</v>
      </c>
      <c r="M254" s="6">
        <v>1</v>
      </c>
      <c r="N254" s="6">
        <v>1</v>
      </c>
      <c r="O254" s="6">
        <v>1</v>
      </c>
      <c r="P254" s="6"/>
      <c r="Q254" s="2" t="s">
        <v>1</v>
      </c>
      <c r="S254">
        <v>8.9786666666666672</v>
      </c>
      <c r="T254">
        <v>8.8642045454545446</v>
      </c>
      <c r="U254">
        <v>8.7359770114942528</v>
      </c>
      <c r="V254">
        <v>8.9262222222222221</v>
      </c>
      <c r="W254">
        <v>9.3080519480519488</v>
      </c>
    </row>
    <row r="257" spans="1:23" ht="29" x14ac:dyDescent="0.35">
      <c r="A257" s="112" t="s">
        <v>102</v>
      </c>
      <c r="B257" s="1" t="s">
        <v>130</v>
      </c>
      <c r="I257" s="1" t="s">
        <v>102</v>
      </c>
      <c r="J257" s="1" t="s">
        <v>130</v>
      </c>
      <c r="Q257" s="1" t="s">
        <v>103</v>
      </c>
      <c r="R257" s="1" t="s">
        <v>130</v>
      </c>
    </row>
    <row r="258" spans="1:23" x14ac:dyDescent="0.35">
      <c r="A258" s="112" t="s">
        <v>129</v>
      </c>
      <c r="B258">
        <v>2018</v>
      </c>
      <c r="C258">
        <v>2019</v>
      </c>
      <c r="D258">
        <v>2020</v>
      </c>
      <c r="E258">
        <v>2021</v>
      </c>
      <c r="F258">
        <v>2022</v>
      </c>
      <c r="G258">
        <v>2023</v>
      </c>
      <c r="I258" s="1" t="s">
        <v>129</v>
      </c>
      <c r="J258">
        <v>2018</v>
      </c>
      <c r="K258">
        <v>2019</v>
      </c>
      <c r="L258">
        <v>2020</v>
      </c>
      <c r="M258">
        <v>2021</v>
      </c>
      <c r="N258">
        <v>2022</v>
      </c>
      <c r="O258">
        <v>2023</v>
      </c>
      <c r="Q258" s="1" t="s">
        <v>129</v>
      </c>
      <c r="R258">
        <v>2018</v>
      </c>
      <c r="S258">
        <v>2019</v>
      </c>
      <c r="T258">
        <v>2020</v>
      </c>
      <c r="U258">
        <v>2021</v>
      </c>
      <c r="V258">
        <v>2022</v>
      </c>
      <c r="W258">
        <v>2023</v>
      </c>
    </row>
    <row r="259" spans="1:23" x14ac:dyDescent="0.35">
      <c r="A259" s="113">
        <v>0</v>
      </c>
      <c r="C259">
        <v>6</v>
      </c>
      <c r="D259">
        <v>12</v>
      </c>
      <c r="E259">
        <v>8</v>
      </c>
      <c r="F259">
        <v>5</v>
      </c>
      <c r="G259">
        <v>1</v>
      </c>
      <c r="I259" s="2">
        <v>0</v>
      </c>
      <c r="J259" s="6" t="e">
        <v>#DIV/0!</v>
      </c>
      <c r="K259" s="6">
        <v>7.5949367088607597E-2</v>
      </c>
      <c r="L259" s="6">
        <v>0.125</v>
      </c>
      <c r="M259" s="6">
        <v>8.7912087912087919E-2</v>
      </c>
      <c r="N259" s="6">
        <v>5.3763440860215055E-2</v>
      </c>
      <c r="O259" s="6">
        <v>1.1627906976744186E-2</v>
      </c>
      <c r="P259" s="6"/>
      <c r="Q259" s="2">
        <v>0</v>
      </c>
      <c r="S259">
        <v>0</v>
      </c>
      <c r="T259">
        <v>0</v>
      </c>
      <c r="U259">
        <v>0</v>
      </c>
      <c r="V259">
        <v>0</v>
      </c>
      <c r="W259">
        <v>0</v>
      </c>
    </row>
    <row r="260" spans="1:23" x14ac:dyDescent="0.35">
      <c r="A260" s="113">
        <v>3.33</v>
      </c>
      <c r="C260">
        <v>9</v>
      </c>
      <c r="D260">
        <v>19</v>
      </c>
      <c r="E260">
        <v>13</v>
      </c>
      <c r="F260">
        <v>13</v>
      </c>
      <c r="G260">
        <v>3</v>
      </c>
      <c r="I260" s="2">
        <v>3.33</v>
      </c>
      <c r="J260" s="6" t="e">
        <v>#DIV/0!</v>
      </c>
      <c r="K260" s="6">
        <v>0.11392405063291139</v>
      </c>
      <c r="L260" s="6">
        <v>0.19791666666666666</v>
      </c>
      <c r="M260" s="6">
        <v>0.14285714285714285</v>
      </c>
      <c r="N260" s="6">
        <v>0.13978494623655913</v>
      </c>
      <c r="O260" s="6">
        <v>3.4883720930232558E-2</v>
      </c>
      <c r="P260" s="6"/>
      <c r="Q260" s="2">
        <v>3.33</v>
      </c>
      <c r="S260">
        <v>3.3299999999999992</v>
      </c>
      <c r="T260">
        <v>3.3299999999999987</v>
      </c>
      <c r="U260">
        <v>3.3299999999999987</v>
      </c>
      <c r="V260">
        <v>3.3299999999999987</v>
      </c>
      <c r="W260">
        <v>3.33</v>
      </c>
    </row>
    <row r="261" spans="1:23" x14ac:dyDescent="0.35">
      <c r="A261" s="113">
        <v>6.67</v>
      </c>
      <c r="C261">
        <v>20</v>
      </c>
      <c r="D261">
        <v>25</v>
      </c>
      <c r="E261">
        <v>32</v>
      </c>
      <c r="F261">
        <v>44</v>
      </c>
      <c r="G261">
        <v>29</v>
      </c>
      <c r="I261" s="2">
        <v>6.67</v>
      </c>
      <c r="J261" s="6" t="e">
        <v>#DIV/0!</v>
      </c>
      <c r="K261" s="6">
        <v>0.25316455696202533</v>
      </c>
      <c r="L261" s="6">
        <v>0.26041666666666669</v>
      </c>
      <c r="M261" s="6">
        <v>0.35164835164835168</v>
      </c>
      <c r="N261" s="6">
        <v>0.4731182795698925</v>
      </c>
      <c r="O261" s="6">
        <v>0.33720930232558138</v>
      </c>
      <c r="P261" s="6"/>
      <c r="Q261" s="2">
        <v>6.67</v>
      </c>
      <c r="S261">
        <v>6.67</v>
      </c>
      <c r="T261">
        <v>6.6699999999999982</v>
      </c>
      <c r="U261">
        <v>6.6699999999999955</v>
      </c>
      <c r="V261">
        <v>6.6699999999999964</v>
      </c>
      <c r="W261">
        <v>6.6699999999999964</v>
      </c>
    </row>
    <row r="262" spans="1:23" x14ac:dyDescent="0.35">
      <c r="A262" s="113">
        <v>10</v>
      </c>
      <c r="C262">
        <v>42</v>
      </c>
      <c r="D262">
        <v>37</v>
      </c>
      <c r="E262">
        <v>35</v>
      </c>
      <c r="F262">
        <v>31</v>
      </c>
      <c r="G262">
        <v>51</v>
      </c>
      <c r="I262" s="2">
        <v>10</v>
      </c>
      <c r="J262" s="6" t="e">
        <v>#DIV/0!</v>
      </c>
      <c r="K262" s="6">
        <v>0.53164556962025311</v>
      </c>
      <c r="L262" s="6">
        <v>0.38541666666666669</v>
      </c>
      <c r="M262" s="6">
        <v>0.38461538461538464</v>
      </c>
      <c r="N262" s="6">
        <v>0.33333333333333331</v>
      </c>
      <c r="O262" s="6">
        <v>0.59302325581395354</v>
      </c>
      <c r="P262" s="6"/>
      <c r="Q262" s="2">
        <v>10</v>
      </c>
      <c r="S262">
        <v>10</v>
      </c>
      <c r="T262">
        <v>10</v>
      </c>
      <c r="U262">
        <v>10</v>
      </c>
      <c r="V262">
        <v>10</v>
      </c>
      <c r="W262">
        <v>10</v>
      </c>
    </row>
    <row r="263" spans="1:23" x14ac:dyDescent="0.35">
      <c r="A263" s="113" t="s">
        <v>128</v>
      </c>
      <c r="C263">
        <v>2</v>
      </c>
      <c r="D263">
        <v>3</v>
      </c>
      <c r="I263" s="2" t="s">
        <v>128</v>
      </c>
      <c r="J263" s="6" t="e">
        <v>#DIV/0!</v>
      </c>
      <c r="K263" s="6">
        <v>2.5316455696202531E-2</v>
      </c>
      <c r="L263" s="6">
        <v>3.125E-2</v>
      </c>
      <c r="M263" s="6">
        <v>0</v>
      </c>
      <c r="N263" s="6">
        <v>0</v>
      </c>
      <c r="O263" s="6">
        <v>0</v>
      </c>
      <c r="P263" s="6"/>
      <c r="Q263" s="2" t="s">
        <v>128</v>
      </c>
      <c r="S263" t="e">
        <v>#DIV/0!</v>
      </c>
      <c r="T263" t="e">
        <v>#DIV/0!</v>
      </c>
    </row>
    <row r="264" spans="1:23" x14ac:dyDescent="0.35">
      <c r="A264" s="113" t="s">
        <v>77</v>
      </c>
      <c r="I264" s="2" t="s">
        <v>77</v>
      </c>
      <c r="J264" s="6" t="e">
        <v>#DIV/0!</v>
      </c>
      <c r="K264" s="6">
        <v>0</v>
      </c>
      <c r="L264" s="6">
        <v>0</v>
      </c>
      <c r="M264" s="6">
        <v>0</v>
      </c>
      <c r="N264" s="6">
        <v>0</v>
      </c>
      <c r="O264" s="6">
        <v>0</v>
      </c>
      <c r="P264" s="6"/>
      <c r="Q264" s="2" t="s">
        <v>77</v>
      </c>
    </row>
    <row r="265" spans="1:23" x14ac:dyDescent="0.35">
      <c r="A265" s="113" t="s">
        <v>17</v>
      </c>
      <c r="E265">
        <v>3</v>
      </c>
      <c r="I265" s="2" t="s">
        <v>17</v>
      </c>
      <c r="J265" s="6" t="e">
        <v>#DIV/0!</v>
      </c>
      <c r="K265" s="6">
        <v>0</v>
      </c>
      <c r="L265" s="6">
        <v>0</v>
      </c>
      <c r="M265" s="6">
        <v>3.2967032967032968E-2</v>
      </c>
      <c r="N265" s="6">
        <v>0</v>
      </c>
      <c r="O265" s="6">
        <v>0</v>
      </c>
      <c r="P265" s="6"/>
      <c r="Q265" s="2" t="s">
        <v>17</v>
      </c>
      <c r="U265" t="e">
        <v>#DIV/0!</v>
      </c>
    </row>
    <row r="266" spans="1:23" x14ac:dyDescent="0.35">
      <c r="A266" s="113">
        <v>1</v>
      </c>
      <c r="G266">
        <v>2</v>
      </c>
      <c r="I266" s="2">
        <v>1</v>
      </c>
      <c r="J266" s="6" t="e">
        <v>#DIV/0!</v>
      </c>
      <c r="K266" s="6">
        <v>0</v>
      </c>
      <c r="L266" s="6">
        <v>0</v>
      </c>
      <c r="M266" s="6">
        <v>0</v>
      </c>
      <c r="N266" s="6">
        <v>0</v>
      </c>
      <c r="O266" s="6">
        <v>2.3255813953488372E-2</v>
      </c>
      <c r="P266" s="6"/>
      <c r="Q266" s="2">
        <v>1</v>
      </c>
      <c r="W266">
        <v>1</v>
      </c>
    </row>
    <row r="267" spans="1:23" x14ac:dyDescent="0.35">
      <c r="A267" s="113" t="s">
        <v>1</v>
      </c>
      <c r="C267">
        <v>79</v>
      </c>
      <c r="D267">
        <v>96</v>
      </c>
      <c r="E267">
        <v>91</v>
      </c>
      <c r="F267">
        <v>93</v>
      </c>
      <c r="G267">
        <v>86</v>
      </c>
      <c r="I267" s="2" t="s">
        <v>1</v>
      </c>
      <c r="J267" s="6" t="e">
        <v>#DIV/0!</v>
      </c>
      <c r="K267" s="6">
        <v>1</v>
      </c>
      <c r="L267" s="6">
        <v>1</v>
      </c>
      <c r="M267" s="6">
        <v>1</v>
      </c>
      <c r="N267" s="6">
        <v>1</v>
      </c>
      <c r="O267" s="6">
        <v>1</v>
      </c>
      <c r="Q267" s="2" t="s">
        <v>1</v>
      </c>
      <c r="S267">
        <v>7.5762337662337647</v>
      </c>
      <c r="T267">
        <v>6.4518279569892449</v>
      </c>
      <c r="U267">
        <v>6.8946590909090881</v>
      </c>
      <c r="V267">
        <v>6.9545161290322577</v>
      </c>
      <c r="W267">
        <v>8.3188372093023233</v>
      </c>
    </row>
    <row r="269" spans="1:23" ht="58" x14ac:dyDescent="0.35">
      <c r="A269" s="112" t="s">
        <v>104</v>
      </c>
      <c r="B269" s="1" t="s">
        <v>130</v>
      </c>
      <c r="I269" s="1" t="s">
        <v>104</v>
      </c>
      <c r="J269" s="1" t="s">
        <v>130</v>
      </c>
      <c r="Q269" s="1" t="s">
        <v>105</v>
      </c>
      <c r="R269" s="1" t="s">
        <v>130</v>
      </c>
    </row>
    <row r="270" spans="1:23" x14ac:dyDescent="0.35">
      <c r="A270" s="112" t="s">
        <v>129</v>
      </c>
      <c r="B270">
        <v>2018</v>
      </c>
      <c r="C270">
        <v>2019</v>
      </c>
      <c r="D270">
        <v>2020</v>
      </c>
      <c r="E270">
        <v>2021</v>
      </c>
      <c r="F270">
        <v>2022</v>
      </c>
      <c r="G270">
        <v>2023</v>
      </c>
      <c r="I270" s="1" t="s">
        <v>129</v>
      </c>
      <c r="J270">
        <v>2018</v>
      </c>
      <c r="K270">
        <v>2019</v>
      </c>
      <c r="L270">
        <v>2020</v>
      </c>
      <c r="M270">
        <v>2021</v>
      </c>
      <c r="N270">
        <v>2022</v>
      </c>
      <c r="O270">
        <v>2023</v>
      </c>
      <c r="Q270" s="1" t="s">
        <v>129</v>
      </c>
      <c r="R270">
        <v>2018</v>
      </c>
      <c r="S270">
        <v>2019</v>
      </c>
      <c r="T270">
        <v>2020</v>
      </c>
      <c r="U270">
        <v>2021</v>
      </c>
      <c r="V270">
        <v>2022</v>
      </c>
      <c r="W270">
        <v>2023</v>
      </c>
    </row>
    <row r="271" spans="1:23" x14ac:dyDescent="0.35">
      <c r="A271" s="113">
        <v>0</v>
      </c>
      <c r="D271">
        <v>2</v>
      </c>
      <c r="E271">
        <v>2</v>
      </c>
      <c r="F271">
        <v>2</v>
      </c>
      <c r="G271">
        <v>3</v>
      </c>
      <c r="I271" s="2">
        <v>0</v>
      </c>
      <c r="J271" s="6" t="e">
        <v>#DIV/0!</v>
      </c>
      <c r="K271" s="6">
        <v>0</v>
      </c>
      <c r="L271" s="6">
        <v>2.0833333333333332E-2</v>
      </c>
      <c r="M271" s="6">
        <v>2.2222222222222223E-2</v>
      </c>
      <c r="N271" s="6">
        <v>2.247191011235955E-2</v>
      </c>
      <c r="O271" s="6">
        <v>3.5294117647058823E-2</v>
      </c>
      <c r="P271" s="6"/>
      <c r="Q271" s="2">
        <v>0</v>
      </c>
      <c r="T271">
        <v>0</v>
      </c>
      <c r="U271">
        <v>0</v>
      </c>
      <c r="V271">
        <v>0</v>
      </c>
      <c r="W271">
        <v>0</v>
      </c>
    </row>
    <row r="272" spans="1:23" x14ac:dyDescent="0.35">
      <c r="A272" s="113">
        <v>6.67</v>
      </c>
      <c r="C272">
        <v>14</v>
      </c>
      <c r="D272">
        <v>13</v>
      </c>
      <c r="E272">
        <v>17</v>
      </c>
      <c r="F272">
        <v>11</v>
      </c>
      <c r="G272">
        <v>35</v>
      </c>
      <c r="I272" s="2">
        <v>6.67</v>
      </c>
      <c r="J272" s="6" t="e">
        <v>#DIV/0!</v>
      </c>
      <c r="K272" s="6">
        <v>0.18181818181818182</v>
      </c>
      <c r="L272" s="6">
        <v>0.13541666666666666</v>
      </c>
      <c r="M272" s="6">
        <v>0.18888888888888888</v>
      </c>
      <c r="N272" s="6">
        <v>0.12359550561797752</v>
      </c>
      <c r="O272" s="6">
        <v>0.41176470588235292</v>
      </c>
      <c r="P272" s="6"/>
      <c r="Q272" s="2">
        <v>6.67</v>
      </c>
      <c r="S272">
        <v>6.6700000000000008</v>
      </c>
      <c r="T272">
        <v>6.6700000000000008</v>
      </c>
      <c r="U272">
        <v>6.6700000000000008</v>
      </c>
      <c r="V272">
        <v>6.6700000000000008</v>
      </c>
      <c r="W272">
        <v>6.6699999999999946</v>
      </c>
    </row>
    <row r="273" spans="1:23" x14ac:dyDescent="0.35">
      <c r="A273" s="113">
        <v>10</v>
      </c>
      <c r="C273">
        <v>62</v>
      </c>
      <c r="D273">
        <v>75</v>
      </c>
      <c r="E273">
        <v>60</v>
      </c>
      <c r="F273">
        <v>74</v>
      </c>
      <c r="G273">
        <v>41</v>
      </c>
      <c r="I273" s="2">
        <v>10</v>
      </c>
      <c r="J273" s="6" t="e">
        <v>#DIV/0!</v>
      </c>
      <c r="K273" s="6">
        <v>0.80519480519480524</v>
      </c>
      <c r="L273" s="6">
        <v>0.78125</v>
      </c>
      <c r="M273" s="6">
        <v>0.66666666666666663</v>
      </c>
      <c r="N273" s="6">
        <v>0.8314606741573034</v>
      </c>
      <c r="O273" s="6">
        <v>0.4823529411764706</v>
      </c>
      <c r="P273" s="6"/>
      <c r="Q273" s="2">
        <v>10</v>
      </c>
      <c r="S273">
        <v>10</v>
      </c>
      <c r="T273">
        <v>10</v>
      </c>
      <c r="U273">
        <v>10</v>
      </c>
      <c r="V273">
        <v>10</v>
      </c>
      <c r="W273">
        <v>10</v>
      </c>
    </row>
    <row r="274" spans="1:23" x14ac:dyDescent="0.35">
      <c r="A274" s="113" t="s">
        <v>128</v>
      </c>
      <c r="C274">
        <v>1</v>
      </c>
      <c r="D274">
        <v>6</v>
      </c>
      <c r="I274" s="2" t="s">
        <v>128</v>
      </c>
      <c r="J274" s="6" t="e">
        <v>#DIV/0!</v>
      </c>
      <c r="K274" s="6">
        <v>1.2987012987012988E-2</v>
      </c>
      <c r="L274" s="6">
        <v>6.25E-2</v>
      </c>
      <c r="M274" s="6">
        <v>0</v>
      </c>
      <c r="N274" s="6">
        <v>0</v>
      </c>
      <c r="O274" s="6">
        <v>0</v>
      </c>
      <c r="P274" s="6"/>
      <c r="Q274" s="2" t="s">
        <v>128</v>
      </c>
      <c r="S274" t="e">
        <v>#DIV/0!</v>
      </c>
      <c r="T274" t="e">
        <v>#DIV/0!</v>
      </c>
    </row>
    <row r="275" spans="1:23" x14ac:dyDescent="0.35">
      <c r="A275" s="113" t="s">
        <v>77</v>
      </c>
      <c r="I275" s="2" t="s">
        <v>77</v>
      </c>
      <c r="J275" s="6" t="e">
        <v>#DIV/0!</v>
      </c>
      <c r="K275" s="6">
        <v>0</v>
      </c>
      <c r="L275" s="6">
        <v>0</v>
      </c>
      <c r="M275" s="6">
        <v>0</v>
      </c>
      <c r="N275" s="6">
        <v>0</v>
      </c>
      <c r="O275" s="6">
        <v>0</v>
      </c>
      <c r="P275" s="6"/>
      <c r="Q275" s="2" t="s">
        <v>77</v>
      </c>
    </row>
    <row r="276" spans="1:23" x14ac:dyDescent="0.35">
      <c r="A276" s="113" t="s">
        <v>17</v>
      </c>
      <c r="E276">
        <v>10</v>
      </c>
      <c r="I276" s="2" t="s">
        <v>17</v>
      </c>
      <c r="J276" s="6" t="e">
        <v>#DIV/0!</v>
      </c>
      <c r="K276" s="6">
        <v>0</v>
      </c>
      <c r="L276" s="6">
        <v>0</v>
      </c>
      <c r="M276" s="6">
        <v>0.1111111111111111</v>
      </c>
      <c r="N276" s="6">
        <v>0</v>
      </c>
      <c r="O276" s="6">
        <v>0</v>
      </c>
      <c r="P276" s="6"/>
      <c r="Q276" s="2" t="s">
        <v>17</v>
      </c>
      <c r="U276" t="e">
        <v>#DIV/0!</v>
      </c>
    </row>
    <row r="277" spans="1:23" x14ac:dyDescent="0.35">
      <c r="A277" s="113">
        <v>3.33</v>
      </c>
      <c r="E277">
        <v>1</v>
      </c>
      <c r="F277">
        <v>2</v>
      </c>
      <c r="G277">
        <v>6</v>
      </c>
      <c r="I277" s="2">
        <v>3.33</v>
      </c>
      <c r="J277" s="6" t="e">
        <v>#DIV/0!</v>
      </c>
      <c r="K277" s="6">
        <v>0</v>
      </c>
      <c r="L277" s="6">
        <v>0</v>
      </c>
      <c r="M277" s="6">
        <v>1.1111111111111112E-2</v>
      </c>
      <c r="N277" s="6">
        <v>2.247191011235955E-2</v>
      </c>
      <c r="O277" s="6">
        <v>7.0588235294117646E-2</v>
      </c>
      <c r="P277" s="6"/>
      <c r="Q277" s="2">
        <v>3.33</v>
      </c>
      <c r="U277">
        <v>3.33</v>
      </c>
      <c r="V277">
        <v>3.33</v>
      </c>
      <c r="W277">
        <v>3.3299999999999996</v>
      </c>
    </row>
    <row r="278" spans="1:23" x14ac:dyDescent="0.35">
      <c r="A278" s="113" t="s">
        <v>1</v>
      </c>
      <c r="C278">
        <v>77</v>
      </c>
      <c r="D278">
        <v>96</v>
      </c>
      <c r="E278">
        <v>90</v>
      </c>
      <c r="F278">
        <v>89</v>
      </c>
      <c r="G278">
        <v>85</v>
      </c>
      <c r="I278" s="2" t="s">
        <v>1</v>
      </c>
      <c r="J278" s="6" t="e">
        <v>#DIV/0!</v>
      </c>
      <c r="K278" s="6">
        <v>1</v>
      </c>
      <c r="L278" s="6">
        <v>1</v>
      </c>
      <c r="M278" s="6">
        <v>1</v>
      </c>
      <c r="N278" s="6">
        <v>1</v>
      </c>
      <c r="O278" s="6">
        <v>1</v>
      </c>
      <c r="P278" s="6"/>
      <c r="Q278" s="2" t="s">
        <v>1</v>
      </c>
      <c r="S278">
        <v>9.3865789473684202</v>
      </c>
      <c r="T278">
        <v>9.2967777777777787</v>
      </c>
      <c r="U278">
        <v>8.9589999999999996</v>
      </c>
      <c r="V278">
        <v>9.2138202247191021</v>
      </c>
      <c r="W278">
        <v>7.8050588235294125</v>
      </c>
    </row>
    <row r="280" spans="1:23" ht="87" x14ac:dyDescent="0.35">
      <c r="A280" s="112" t="s">
        <v>106</v>
      </c>
      <c r="B280" s="1" t="s">
        <v>130</v>
      </c>
      <c r="I280" s="1" t="s">
        <v>106</v>
      </c>
      <c r="J280" s="1" t="s">
        <v>130</v>
      </c>
      <c r="Q280" s="1" t="s">
        <v>107</v>
      </c>
      <c r="R280" s="1" t="s">
        <v>130</v>
      </c>
    </row>
    <row r="281" spans="1:23" x14ac:dyDescent="0.35">
      <c r="A281" s="112" t="s">
        <v>129</v>
      </c>
      <c r="B281">
        <v>2018</v>
      </c>
      <c r="C281">
        <v>2019</v>
      </c>
      <c r="D281">
        <v>2020</v>
      </c>
      <c r="E281">
        <v>2021</v>
      </c>
      <c r="F281">
        <v>2022</v>
      </c>
      <c r="G281">
        <v>2023</v>
      </c>
      <c r="I281" s="1" t="s">
        <v>129</v>
      </c>
      <c r="J281">
        <v>2018</v>
      </c>
      <c r="K281">
        <v>2019</v>
      </c>
      <c r="L281">
        <v>2020</v>
      </c>
      <c r="M281">
        <v>2021</v>
      </c>
      <c r="N281">
        <v>2022</v>
      </c>
      <c r="O281">
        <v>2023</v>
      </c>
      <c r="Q281" s="1" t="s">
        <v>129</v>
      </c>
      <c r="R281">
        <v>2018</v>
      </c>
      <c r="S281">
        <v>2019</v>
      </c>
      <c r="T281">
        <v>2020</v>
      </c>
      <c r="U281">
        <v>2021</v>
      </c>
      <c r="V281">
        <v>2022</v>
      </c>
      <c r="W281">
        <v>2023</v>
      </c>
    </row>
    <row r="282" spans="1:23" x14ac:dyDescent="0.35">
      <c r="A282" s="113">
        <v>0</v>
      </c>
      <c r="C282">
        <v>2</v>
      </c>
      <c r="D282">
        <v>5</v>
      </c>
      <c r="E282">
        <v>11</v>
      </c>
      <c r="F282">
        <v>7</v>
      </c>
      <c r="I282" s="2">
        <v>0</v>
      </c>
      <c r="J282" s="6" t="e">
        <v>#DIV/0!</v>
      </c>
      <c r="K282" s="6">
        <v>2.5000000000000001E-2</v>
      </c>
      <c r="L282" s="6">
        <v>5.3191489361702128E-2</v>
      </c>
      <c r="M282" s="6">
        <v>0.11827956989247312</v>
      </c>
      <c r="N282" s="6">
        <v>7.6923076923076927E-2</v>
      </c>
      <c r="O282" s="6">
        <v>0</v>
      </c>
      <c r="P282" s="6"/>
      <c r="Q282" s="2">
        <v>0</v>
      </c>
      <c r="S282">
        <v>0</v>
      </c>
      <c r="T282">
        <v>0</v>
      </c>
      <c r="U282">
        <v>0</v>
      </c>
      <c r="V282">
        <v>0</v>
      </c>
    </row>
    <row r="283" spans="1:23" x14ac:dyDescent="0.35">
      <c r="A283" s="113">
        <v>3.33</v>
      </c>
      <c r="C283">
        <v>9</v>
      </c>
      <c r="D283">
        <v>11</v>
      </c>
      <c r="E283">
        <v>3</v>
      </c>
      <c r="F283">
        <v>11</v>
      </c>
      <c r="G283">
        <v>4</v>
      </c>
      <c r="I283" s="2">
        <v>3.33</v>
      </c>
      <c r="J283" s="6" t="e">
        <v>#DIV/0!</v>
      </c>
      <c r="K283" s="6">
        <v>0.1125</v>
      </c>
      <c r="L283" s="6">
        <v>0.11702127659574468</v>
      </c>
      <c r="M283" s="6">
        <v>3.2258064516129031E-2</v>
      </c>
      <c r="N283" s="6">
        <v>0.12087912087912088</v>
      </c>
      <c r="O283" s="6">
        <v>5.4794520547945202E-2</v>
      </c>
      <c r="P283" s="6"/>
      <c r="Q283" s="2">
        <v>3.33</v>
      </c>
      <c r="S283">
        <v>3.3299999999999992</v>
      </c>
      <c r="T283">
        <v>3.3299999999999987</v>
      </c>
      <c r="U283">
        <v>3.33</v>
      </c>
      <c r="V283">
        <v>3.3299999999999987</v>
      </c>
      <c r="W283">
        <v>3.33</v>
      </c>
    </row>
    <row r="284" spans="1:23" x14ac:dyDescent="0.35">
      <c r="A284" s="113">
        <v>6.67</v>
      </c>
      <c r="C284">
        <v>23</v>
      </c>
      <c r="D284">
        <v>36</v>
      </c>
      <c r="E284">
        <v>36</v>
      </c>
      <c r="F284">
        <v>35</v>
      </c>
      <c r="G284">
        <v>25</v>
      </c>
      <c r="I284" s="2">
        <v>6.67</v>
      </c>
      <c r="J284" s="6" t="e">
        <v>#DIV/0!</v>
      </c>
      <c r="K284" s="6">
        <v>0.28749999999999998</v>
      </c>
      <c r="L284" s="6">
        <v>0.38297872340425532</v>
      </c>
      <c r="M284" s="6">
        <v>0.38709677419354838</v>
      </c>
      <c r="N284" s="6">
        <v>0.38461538461538464</v>
      </c>
      <c r="O284" s="6">
        <v>0.34246575342465752</v>
      </c>
      <c r="P284" s="6"/>
      <c r="Q284" s="2">
        <v>6.67</v>
      </c>
      <c r="S284">
        <v>6.669999999999999</v>
      </c>
      <c r="T284">
        <v>6.6699999999999946</v>
      </c>
      <c r="U284">
        <v>6.6699999999999946</v>
      </c>
      <c r="V284">
        <v>6.6699999999999946</v>
      </c>
      <c r="W284">
        <v>6.6699999999999982</v>
      </c>
    </row>
    <row r="285" spans="1:23" x14ac:dyDescent="0.35">
      <c r="A285" s="113">
        <v>10</v>
      </c>
      <c r="C285">
        <v>42</v>
      </c>
      <c r="D285">
        <v>36</v>
      </c>
      <c r="E285">
        <v>35</v>
      </c>
      <c r="F285">
        <v>38</v>
      </c>
      <c r="G285">
        <v>42</v>
      </c>
      <c r="I285" s="2">
        <v>10</v>
      </c>
      <c r="J285" s="6" t="e">
        <v>#DIV/0!</v>
      </c>
      <c r="K285" s="6">
        <v>0.52500000000000002</v>
      </c>
      <c r="L285" s="6">
        <v>0.38297872340425532</v>
      </c>
      <c r="M285" s="6">
        <v>0.37634408602150538</v>
      </c>
      <c r="N285" s="6">
        <v>0.4175824175824176</v>
      </c>
      <c r="O285" s="6">
        <v>0.57534246575342463</v>
      </c>
      <c r="P285" s="6"/>
      <c r="Q285" s="2">
        <v>10</v>
      </c>
      <c r="S285">
        <v>10</v>
      </c>
      <c r="T285">
        <v>10</v>
      </c>
      <c r="U285">
        <v>10</v>
      </c>
      <c r="V285">
        <v>10</v>
      </c>
      <c r="W285">
        <v>10</v>
      </c>
    </row>
    <row r="286" spans="1:23" x14ac:dyDescent="0.35">
      <c r="A286" s="113" t="s">
        <v>128</v>
      </c>
      <c r="C286">
        <v>4</v>
      </c>
      <c r="D286">
        <v>6</v>
      </c>
      <c r="I286" s="2" t="s">
        <v>128</v>
      </c>
      <c r="J286" s="6" t="e">
        <v>#DIV/0!</v>
      </c>
      <c r="K286" s="6">
        <v>0.05</v>
      </c>
      <c r="L286" s="6">
        <v>6.3829787234042548E-2</v>
      </c>
      <c r="M286" s="6">
        <v>0</v>
      </c>
      <c r="N286" s="6">
        <v>0</v>
      </c>
      <c r="O286" s="6">
        <v>0</v>
      </c>
      <c r="P286" s="6"/>
      <c r="Q286" s="2" t="s">
        <v>128</v>
      </c>
      <c r="S286" t="e">
        <v>#DIV/0!</v>
      </c>
      <c r="T286" t="e">
        <v>#DIV/0!</v>
      </c>
    </row>
    <row r="287" spans="1:23" x14ac:dyDescent="0.35">
      <c r="A287" s="113" t="s">
        <v>77</v>
      </c>
      <c r="I287" s="2" t="s">
        <v>77</v>
      </c>
      <c r="J287" s="6" t="e">
        <v>#DIV/0!</v>
      </c>
      <c r="K287" s="6">
        <v>0</v>
      </c>
      <c r="L287" s="6">
        <v>0</v>
      </c>
      <c r="M287" s="6">
        <v>0</v>
      </c>
      <c r="N287" s="6">
        <v>0</v>
      </c>
      <c r="O287" s="6">
        <v>0</v>
      </c>
      <c r="P287" s="6"/>
      <c r="Q287" s="2" t="s">
        <v>77</v>
      </c>
    </row>
    <row r="288" spans="1:23" x14ac:dyDescent="0.35">
      <c r="A288" s="113" t="s">
        <v>17</v>
      </c>
      <c r="E288">
        <v>8</v>
      </c>
      <c r="I288" s="2" t="s">
        <v>17</v>
      </c>
      <c r="J288" s="6" t="e">
        <v>#DIV/0!</v>
      </c>
      <c r="K288" s="6">
        <v>0</v>
      </c>
      <c r="L288" s="6">
        <v>0</v>
      </c>
      <c r="M288" s="6">
        <v>8.6021505376344093E-2</v>
      </c>
      <c r="N288" s="6">
        <v>0</v>
      </c>
      <c r="O288" s="6">
        <v>0</v>
      </c>
      <c r="P288" s="6"/>
      <c r="Q288" s="2" t="s">
        <v>17</v>
      </c>
      <c r="U288" t="e">
        <v>#DIV/0!</v>
      </c>
    </row>
    <row r="289" spans="1:23" x14ac:dyDescent="0.35">
      <c r="A289" s="113">
        <v>1</v>
      </c>
      <c r="G289">
        <v>2</v>
      </c>
      <c r="I289" s="2">
        <v>1</v>
      </c>
      <c r="J289" s="6" t="e">
        <v>#DIV/0!</v>
      </c>
      <c r="K289" s="6">
        <v>0</v>
      </c>
      <c r="L289" s="6">
        <v>0</v>
      </c>
      <c r="M289" s="6">
        <v>0</v>
      </c>
      <c r="N289" s="6">
        <v>0</v>
      </c>
      <c r="O289" s="6">
        <v>2.7397260273972601E-2</v>
      </c>
      <c r="P289" s="6"/>
      <c r="Q289" s="2">
        <v>1</v>
      </c>
      <c r="W289">
        <v>1</v>
      </c>
    </row>
    <row r="290" spans="1:23" x14ac:dyDescent="0.35">
      <c r="A290" s="113" t="s">
        <v>1</v>
      </c>
      <c r="C290">
        <v>80</v>
      </c>
      <c r="D290">
        <v>94</v>
      </c>
      <c r="E290">
        <v>93</v>
      </c>
      <c r="F290">
        <v>91</v>
      </c>
      <c r="G290">
        <v>73</v>
      </c>
      <c r="I290" s="2" t="s">
        <v>1</v>
      </c>
      <c r="J290" s="6" t="e">
        <v>#DIV/0!</v>
      </c>
      <c r="K290" s="6">
        <v>1</v>
      </c>
      <c r="L290" s="6">
        <v>1</v>
      </c>
      <c r="M290" s="6">
        <v>1</v>
      </c>
      <c r="N290" s="6">
        <v>1</v>
      </c>
      <c r="O290" s="6">
        <v>1</v>
      </c>
      <c r="Q290" s="2" t="s">
        <v>1</v>
      </c>
      <c r="S290">
        <v>7.9392105263157875</v>
      </c>
      <c r="T290">
        <v>7.2357954545454524</v>
      </c>
      <c r="U290">
        <v>7.0601176470588207</v>
      </c>
      <c r="V290">
        <v>7.1437362637362618</v>
      </c>
      <c r="W290">
        <v>8.2475342465753414</v>
      </c>
    </row>
    <row r="292" spans="1:23" ht="29" x14ac:dyDescent="0.35">
      <c r="A292" s="112" t="s">
        <v>108</v>
      </c>
      <c r="B292" s="1" t="s">
        <v>130</v>
      </c>
      <c r="I292" s="1" t="s">
        <v>108</v>
      </c>
      <c r="J292" s="1" t="s">
        <v>130</v>
      </c>
      <c r="Q292" s="1" t="s">
        <v>109</v>
      </c>
      <c r="R292" s="1" t="s">
        <v>130</v>
      </c>
    </row>
    <row r="293" spans="1:23" x14ac:dyDescent="0.35">
      <c r="A293" s="112" t="s">
        <v>129</v>
      </c>
      <c r="B293">
        <v>2018</v>
      </c>
      <c r="C293">
        <v>2019</v>
      </c>
      <c r="D293">
        <v>2020</v>
      </c>
      <c r="E293">
        <v>2021</v>
      </c>
      <c r="F293">
        <v>2022</v>
      </c>
      <c r="G293">
        <v>2023</v>
      </c>
      <c r="I293" s="1" t="s">
        <v>129</v>
      </c>
      <c r="J293">
        <v>2018</v>
      </c>
      <c r="K293">
        <v>2019</v>
      </c>
      <c r="L293">
        <v>2020</v>
      </c>
      <c r="M293">
        <v>2021</v>
      </c>
      <c r="N293">
        <v>2022</v>
      </c>
      <c r="O293">
        <v>2023</v>
      </c>
      <c r="Q293" s="1" t="s">
        <v>129</v>
      </c>
      <c r="R293">
        <v>2018</v>
      </c>
      <c r="S293">
        <v>2019</v>
      </c>
      <c r="T293">
        <v>2020</v>
      </c>
      <c r="U293">
        <v>2021</v>
      </c>
      <c r="V293">
        <v>2022</v>
      </c>
      <c r="W293">
        <v>2023</v>
      </c>
    </row>
    <row r="294" spans="1:23" x14ac:dyDescent="0.35">
      <c r="A294" s="113">
        <v>0</v>
      </c>
      <c r="C294">
        <v>3</v>
      </c>
      <c r="D294">
        <v>5</v>
      </c>
      <c r="E294">
        <v>7</v>
      </c>
      <c r="F294">
        <v>4</v>
      </c>
      <c r="I294" s="2">
        <v>0</v>
      </c>
      <c r="J294" s="6" t="e">
        <v>#DIV/0!</v>
      </c>
      <c r="K294" s="6">
        <v>3.7499999999999999E-2</v>
      </c>
      <c r="L294" s="6">
        <v>5.2083333333333336E-2</v>
      </c>
      <c r="M294" s="6">
        <v>7.5268817204301078E-2</v>
      </c>
      <c r="N294" s="6">
        <v>4.2105263157894736E-2</v>
      </c>
      <c r="O294" s="6">
        <v>0</v>
      </c>
      <c r="P294" s="6"/>
      <c r="Q294" s="2">
        <v>0</v>
      </c>
      <c r="S294">
        <v>0</v>
      </c>
      <c r="T294">
        <v>0</v>
      </c>
      <c r="U294">
        <v>0</v>
      </c>
      <c r="V294">
        <v>0</v>
      </c>
    </row>
    <row r="295" spans="1:23" x14ac:dyDescent="0.35">
      <c r="A295" s="113">
        <v>3.33</v>
      </c>
      <c r="C295">
        <v>2</v>
      </c>
      <c r="D295">
        <v>3</v>
      </c>
      <c r="E295">
        <v>5</v>
      </c>
      <c r="F295">
        <v>7</v>
      </c>
      <c r="G295">
        <v>4</v>
      </c>
      <c r="I295" s="2">
        <v>3.33</v>
      </c>
      <c r="J295" s="6" t="e">
        <v>#DIV/0!</v>
      </c>
      <c r="K295" s="6">
        <v>2.5000000000000001E-2</v>
      </c>
      <c r="L295" s="6">
        <v>3.125E-2</v>
      </c>
      <c r="M295" s="6">
        <v>5.3763440860215055E-2</v>
      </c>
      <c r="N295" s="6">
        <v>7.3684210526315783E-2</v>
      </c>
      <c r="O295" s="6">
        <v>4.7058823529411764E-2</v>
      </c>
      <c r="P295" s="6"/>
      <c r="Q295" s="2">
        <v>3.33</v>
      </c>
      <c r="S295">
        <v>3.33</v>
      </c>
      <c r="T295">
        <v>3.33</v>
      </c>
      <c r="U295">
        <v>3.3299999999999996</v>
      </c>
      <c r="V295">
        <v>3.3299999999999992</v>
      </c>
      <c r="W295">
        <v>3.33</v>
      </c>
    </row>
    <row r="296" spans="1:23" x14ac:dyDescent="0.35">
      <c r="A296" s="113">
        <v>6.67</v>
      </c>
      <c r="C296">
        <v>22</v>
      </c>
      <c r="D296">
        <v>28</v>
      </c>
      <c r="E296">
        <v>23</v>
      </c>
      <c r="F296">
        <v>22</v>
      </c>
      <c r="G296">
        <v>12</v>
      </c>
      <c r="I296" s="2">
        <v>6.67</v>
      </c>
      <c r="J296" s="6" t="e">
        <v>#DIV/0!</v>
      </c>
      <c r="K296" s="6">
        <v>0.27500000000000002</v>
      </c>
      <c r="L296" s="6">
        <v>0.29166666666666669</v>
      </c>
      <c r="M296" s="6">
        <v>0.24731182795698925</v>
      </c>
      <c r="N296" s="6">
        <v>0.23157894736842105</v>
      </c>
      <c r="O296" s="6">
        <v>0.14117647058823529</v>
      </c>
      <c r="P296" s="6"/>
      <c r="Q296" s="2">
        <v>6.67</v>
      </c>
      <c r="S296">
        <v>6.669999999999999</v>
      </c>
      <c r="T296">
        <v>6.6699999999999964</v>
      </c>
      <c r="U296">
        <v>6.669999999999999</v>
      </c>
      <c r="V296">
        <v>6.669999999999999</v>
      </c>
      <c r="W296">
        <v>6.6700000000000008</v>
      </c>
    </row>
    <row r="297" spans="1:23" x14ac:dyDescent="0.35">
      <c r="A297" s="113">
        <v>10</v>
      </c>
      <c r="C297">
        <v>51</v>
      </c>
      <c r="D297">
        <v>54</v>
      </c>
      <c r="E297">
        <v>50</v>
      </c>
      <c r="F297">
        <v>62</v>
      </c>
      <c r="G297">
        <v>69</v>
      </c>
      <c r="I297" s="2">
        <v>10</v>
      </c>
      <c r="J297" s="6" t="e">
        <v>#DIV/0!</v>
      </c>
      <c r="K297" s="6">
        <v>0.63749999999999996</v>
      </c>
      <c r="L297" s="6">
        <v>0.5625</v>
      </c>
      <c r="M297" s="6">
        <v>0.5376344086021505</v>
      </c>
      <c r="N297" s="6">
        <v>0.65263157894736845</v>
      </c>
      <c r="O297" s="6">
        <v>0.81176470588235294</v>
      </c>
      <c r="P297" s="6"/>
      <c r="Q297" s="2">
        <v>10</v>
      </c>
      <c r="S297">
        <v>10</v>
      </c>
      <c r="T297">
        <v>10</v>
      </c>
      <c r="U297">
        <v>10</v>
      </c>
      <c r="V297">
        <v>10</v>
      </c>
      <c r="W297">
        <v>10</v>
      </c>
    </row>
    <row r="298" spans="1:23" x14ac:dyDescent="0.35">
      <c r="A298" s="113" t="s">
        <v>128</v>
      </c>
      <c r="C298">
        <v>2</v>
      </c>
      <c r="D298">
        <v>6</v>
      </c>
      <c r="I298" s="2" t="s">
        <v>128</v>
      </c>
      <c r="J298" s="6" t="e">
        <v>#DIV/0!</v>
      </c>
      <c r="K298" s="6">
        <v>2.5000000000000001E-2</v>
      </c>
      <c r="L298" s="6">
        <v>6.25E-2</v>
      </c>
      <c r="M298" s="6">
        <v>0</v>
      </c>
      <c r="N298" s="6">
        <v>0</v>
      </c>
      <c r="O298" s="6">
        <v>0</v>
      </c>
      <c r="P298" s="6"/>
      <c r="Q298" s="2" t="s">
        <v>128</v>
      </c>
      <c r="S298" t="e">
        <v>#DIV/0!</v>
      </c>
      <c r="T298" t="e">
        <v>#DIV/0!</v>
      </c>
    </row>
    <row r="299" spans="1:23" x14ac:dyDescent="0.35">
      <c r="A299" s="113" t="s">
        <v>77</v>
      </c>
      <c r="I299" s="2" t="s">
        <v>77</v>
      </c>
      <c r="J299" s="6" t="e">
        <v>#DIV/0!</v>
      </c>
      <c r="K299" s="6">
        <v>0</v>
      </c>
      <c r="L299" s="6">
        <v>0</v>
      </c>
      <c r="M299" s="6">
        <v>0</v>
      </c>
      <c r="N299" s="6">
        <v>0</v>
      </c>
      <c r="O299" s="6">
        <v>0</v>
      </c>
      <c r="P299" s="6"/>
      <c r="Q299" s="2" t="s">
        <v>77</v>
      </c>
    </row>
    <row r="300" spans="1:23" x14ac:dyDescent="0.35">
      <c r="A300" s="113" t="s">
        <v>17</v>
      </c>
      <c r="E300">
        <v>8</v>
      </c>
      <c r="I300" s="2" t="s">
        <v>17</v>
      </c>
      <c r="J300" s="6" t="e">
        <v>#DIV/0!</v>
      </c>
      <c r="K300" s="6">
        <v>0</v>
      </c>
      <c r="L300" s="6">
        <v>0</v>
      </c>
      <c r="M300" s="6">
        <v>8.6021505376344093E-2</v>
      </c>
      <c r="N300" s="6">
        <v>0</v>
      </c>
      <c r="O300" s="6">
        <v>0</v>
      </c>
      <c r="P300" s="6"/>
      <c r="Q300" s="2" t="s">
        <v>17</v>
      </c>
      <c r="U300" t="e">
        <v>#DIV/0!</v>
      </c>
    </row>
    <row r="301" spans="1:23" x14ac:dyDescent="0.35">
      <c r="A301" s="113" t="s">
        <v>1</v>
      </c>
      <c r="C301">
        <v>80</v>
      </c>
      <c r="D301">
        <v>96</v>
      </c>
      <c r="E301">
        <v>93</v>
      </c>
      <c r="F301">
        <v>95</v>
      </c>
      <c r="G301">
        <v>85</v>
      </c>
      <c r="I301" s="2" t="s">
        <v>1</v>
      </c>
      <c r="J301" s="6" t="e">
        <v>#DIV/0!</v>
      </c>
      <c r="K301" s="6">
        <v>1</v>
      </c>
      <c r="L301" s="6">
        <v>1</v>
      </c>
      <c r="M301" s="6">
        <v>1</v>
      </c>
      <c r="N301" s="6">
        <v>1</v>
      </c>
      <c r="O301" s="6">
        <v>1</v>
      </c>
      <c r="P301" s="6"/>
      <c r="Q301" s="2" t="s">
        <v>1</v>
      </c>
      <c r="S301">
        <v>8.5051282051282051</v>
      </c>
      <c r="T301">
        <v>8.18611111111111</v>
      </c>
      <c r="U301">
        <v>7.883058823529411</v>
      </c>
      <c r="V301">
        <v>8.3163157894736841</v>
      </c>
      <c r="W301">
        <v>9.2159999999999993</v>
      </c>
    </row>
    <row r="304" spans="1:23" ht="58" x14ac:dyDescent="0.35">
      <c r="A304" s="112" t="s">
        <v>110</v>
      </c>
      <c r="B304" s="1" t="s">
        <v>130</v>
      </c>
      <c r="I304" s="1" t="s">
        <v>110</v>
      </c>
      <c r="J304" s="1" t="s">
        <v>130</v>
      </c>
      <c r="Q304" s="1" t="s">
        <v>111</v>
      </c>
      <c r="R304" s="1" t="s">
        <v>130</v>
      </c>
    </row>
    <row r="305" spans="1:23" x14ac:dyDescent="0.35">
      <c r="A305" s="112" t="s">
        <v>129</v>
      </c>
      <c r="B305">
        <v>2018</v>
      </c>
      <c r="C305">
        <v>2019</v>
      </c>
      <c r="D305">
        <v>2020</v>
      </c>
      <c r="E305">
        <v>2021</v>
      </c>
      <c r="F305">
        <v>2022</v>
      </c>
      <c r="G305">
        <v>2023</v>
      </c>
      <c r="I305" s="1" t="s">
        <v>129</v>
      </c>
      <c r="J305">
        <v>2018</v>
      </c>
      <c r="K305">
        <v>2019</v>
      </c>
      <c r="L305">
        <v>2020</v>
      </c>
      <c r="M305">
        <v>2021</v>
      </c>
      <c r="N305">
        <v>2022</v>
      </c>
      <c r="O305">
        <v>2023</v>
      </c>
      <c r="Q305" s="1" t="s">
        <v>129</v>
      </c>
      <c r="R305">
        <v>2018</v>
      </c>
      <c r="S305">
        <v>2019</v>
      </c>
      <c r="T305">
        <v>2020</v>
      </c>
      <c r="U305">
        <v>2021</v>
      </c>
      <c r="V305">
        <v>2022</v>
      </c>
      <c r="W305">
        <v>2023</v>
      </c>
    </row>
    <row r="306" spans="1:23" x14ac:dyDescent="0.35">
      <c r="A306" s="113">
        <v>0</v>
      </c>
      <c r="D306">
        <v>3</v>
      </c>
      <c r="E306">
        <v>7</v>
      </c>
      <c r="F306">
        <v>4</v>
      </c>
      <c r="G306">
        <v>2</v>
      </c>
      <c r="I306" s="2">
        <v>0</v>
      </c>
      <c r="J306" s="6" t="e">
        <v>#DIV/0!</v>
      </c>
      <c r="K306" s="6">
        <v>0</v>
      </c>
      <c r="L306" s="6">
        <v>3.1914893617021274E-2</v>
      </c>
      <c r="M306" s="6">
        <v>7.4468085106382975E-2</v>
      </c>
      <c r="N306" s="6">
        <v>4.7619047619047616E-2</v>
      </c>
      <c r="O306" s="6">
        <v>2.3255813953488372E-2</v>
      </c>
      <c r="P306" s="6"/>
      <c r="Q306" s="2">
        <v>0</v>
      </c>
      <c r="T306">
        <v>0</v>
      </c>
      <c r="U306">
        <v>0</v>
      </c>
      <c r="V306">
        <v>0</v>
      </c>
      <c r="W306">
        <v>0</v>
      </c>
    </row>
    <row r="307" spans="1:23" x14ac:dyDescent="0.35">
      <c r="A307" s="113">
        <v>3.33</v>
      </c>
      <c r="C307">
        <v>3</v>
      </c>
      <c r="D307">
        <v>6</v>
      </c>
      <c r="E307">
        <v>2</v>
      </c>
      <c r="F307">
        <v>3</v>
      </c>
      <c r="G307">
        <v>12</v>
      </c>
      <c r="I307" s="2">
        <v>3.33</v>
      </c>
      <c r="J307" s="6" t="e">
        <v>#DIV/0!</v>
      </c>
      <c r="K307" s="6">
        <v>3.7499999999999999E-2</v>
      </c>
      <c r="L307" s="6">
        <v>6.3829787234042548E-2</v>
      </c>
      <c r="M307" s="6">
        <v>2.1276595744680851E-2</v>
      </c>
      <c r="N307" s="6">
        <v>3.5714285714285712E-2</v>
      </c>
      <c r="O307" s="6">
        <v>0.13953488372093023</v>
      </c>
      <c r="P307" s="6"/>
      <c r="Q307" s="2">
        <v>3.33</v>
      </c>
      <c r="S307">
        <v>3.33</v>
      </c>
      <c r="T307">
        <v>3.3299999999999996</v>
      </c>
      <c r="U307">
        <v>3.33</v>
      </c>
      <c r="V307">
        <v>3.33</v>
      </c>
      <c r="W307">
        <v>3.3299999999999987</v>
      </c>
    </row>
    <row r="308" spans="1:23" x14ac:dyDescent="0.35">
      <c r="A308" s="113">
        <v>6.67</v>
      </c>
      <c r="C308">
        <v>22</v>
      </c>
      <c r="D308">
        <v>28</v>
      </c>
      <c r="E308">
        <v>24</v>
      </c>
      <c r="F308">
        <v>25</v>
      </c>
      <c r="G308">
        <v>26</v>
      </c>
      <c r="I308" s="2">
        <v>6.67</v>
      </c>
      <c r="J308" s="6" t="e">
        <v>#DIV/0!</v>
      </c>
      <c r="K308" s="6">
        <v>0.27500000000000002</v>
      </c>
      <c r="L308" s="6">
        <v>0.2978723404255319</v>
      </c>
      <c r="M308" s="6">
        <v>0.25531914893617019</v>
      </c>
      <c r="N308" s="6">
        <v>0.29761904761904762</v>
      </c>
      <c r="O308" s="6">
        <v>0.30232558139534882</v>
      </c>
      <c r="P308" s="6"/>
      <c r="Q308" s="2">
        <v>6.67</v>
      </c>
      <c r="S308">
        <v>6.669999999999999</v>
      </c>
      <c r="T308">
        <v>6.6699999999999964</v>
      </c>
      <c r="U308">
        <v>6.6699999999999982</v>
      </c>
      <c r="V308">
        <v>6.6699999999999982</v>
      </c>
      <c r="W308">
        <v>6.6699999999999973</v>
      </c>
    </row>
    <row r="309" spans="1:23" x14ac:dyDescent="0.35">
      <c r="A309" s="113">
        <v>10</v>
      </c>
      <c r="C309">
        <v>53</v>
      </c>
      <c r="D309">
        <v>50</v>
      </c>
      <c r="E309">
        <v>53</v>
      </c>
      <c r="F309">
        <v>52</v>
      </c>
      <c r="G309">
        <v>45</v>
      </c>
      <c r="I309" s="2">
        <v>10</v>
      </c>
      <c r="J309" s="6" t="e">
        <v>#DIV/0!</v>
      </c>
      <c r="K309" s="6">
        <v>0.66249999999999998</v>
      </c>
      <c r="L309" s="6">
        <v>0.53191489361702127</v>
      </c>
      <c r="M309" s="6">
        <v>0.56382978723404253</v>
      </c>
      <c r="N309" s="6">
        <v>0.61904761904761907</v>
      </c>
      <c r="O309" s="6">
        <v>0.52325581395348841</v>
      </c>
      <c r="P309" s="6"/>
      <c r="Q309" s="2">
        <v>10</v>
      </c>
      <c r="S309">
        <v>10</v>
      </c>
      <c r="T309">
        <v>10</v>
      </c>
      <c r="U309">
        <v>10</v>
      </c>
      <c r="V309">
        <v>10</v>
      </c>
      <c r="W309">
        <v>10</v>
      </c>
    </row>
    <row r="310" spans="1:23" x14ac:dyDescent="0.35">
      <c r="A310" s="113" t="s">
        <v>128</v>
      </c>
      <c r="C310">
        <v>2</v>
      </c>
      <c r="D310">
        <v>7</v>
      </c>
      <c r="I310" s="2" t="s">
        <v>128</v>
      </c>
      <c r="J310" s="6" t="e">
        <v>#DIV/0!</v>
      </c>
      <c r="K310" s="6">
        <v>2.5000000000000001E-2</v>
      </c>
      <c r="L310" s="6">
        <v>7.4468085106382975E-2</v>
      </c>
      <c r="M310" s="6">
        <v>0</v>
      </c>
      <c r="N310" s="6">
        <v>0</v>
      </c>
      <c r="O310" s="6">
        <v>0</v>
      </c>
      <c r="P310" s="6"/>
      <c r="Q310" s="2" t="s">
        <v>128</v>
      </c>
      <c r="S310" t="e">
        <v>#DIV/0!</v>
      </c>
      <c r="T310" t="e">
        <v>#DIV/0!</v>
      </c>
    </row>
    <row r="311" spans="1:23" x14ac:dyDescent="0.35">
      <c r="A311" s="113" t="s">
        <v>77</v>
      </c>
      <c r="I311" s="2" t="s">
        <v>77</v>
      </c>
      <c r="J311" s="6" t="e">
        <v>#DIV/0!</v>
      </c>
      <c r="K311" s="6">
        <v>0</v>
      </c>
      <c r="L311" s="6">
        <v>0</v>
      </c>
      <c r="M311" s="6">
        <v>0</v>
      </c>
      <c r="N311" s="6">
        <v>0</v>
      </c>
      <c r="O311" s="6">
        <v>0</v>
      </c>
      <c r="P311" s="6"/>
      <c r="Q311" s="2" t="s">
        <v>77</v>
      </c>
    </row>
    <row r="312" spans="1:23" x14ac:dyDescent="0.35">
      <c r="A312" s="113" t="s">
        <v>17</v>
      </c>
      <c r="E312">
        <v>8</v>
      </c>
      <c r="I312" s="2" t="s">
        <v>17</v>
      </c>
      <c r="J312" s="6" t="e">
        <v>#DIV/0!</v>
      </c>
      <c r="K312" s="6">
        <v>0</v>
      </c>
      <c r="L312" s="6">
        <v>0</v>
      </c>
      <c r="M312" s="6">
        <v>8.5106382978723402E-2</v>
      </c>
      <c r="N312" s="6">
        <v>0</v>
      </c>
      <c r="O312" s="6">
        <v>0</v>
      </c>
      <c r="P312" s="6"/>
      <c r="Q312" s="2" t="s">
        <v>17</v>
      </c>
      <c r="U312" t="e">
        <v>#DIV/0!</v>
      </c>
    </row>
    <row r="313" spans="1:23" x14ac:dyDescent="0.35">
      <c r="A313" s="113">
        <v>1</v>
      </c>
      <c r="G313">
        <v>1</v>
      </c>
      <c r="I313" s="2">
        <v>1</v>
      </c>
      <c r="J313" s="6" t="e">
        <v>#DIV/0!</v>
      </c>
      <c r="K313" s="6">
        <v>0</v>
      </c>
      <c r="L313" s="6">
        <v>0</v>
      </c>
      <c r="M313" s="6">
        <v>0</v>
      </c>
      <c r="N313" s="6">
        <v>0</v>
      </c>
      <c r="O313" s="6">
        <v>1.1627906976744186E-2</v>
      </c>
      <c r="P313" s="6"/>
      <c r="Q313" s="2">
        <v>1</v>
      </c>
      <c r="W313">
        <v>1</v>
      </c>
    </row>
    <row r="314" spans="1:23" x14ac:dyDescent="0.35">
      <c r="A314" s="113" t="s">
        <v>1</v>
      </c>
      <c r="C314">
        <v>80</v>
      </c>
      <c r="D314">
        <v>94</v>
      </c>
      <c r="E314">
        <v>94</v>
      </c>
      <c r="F314">
        <v>84</v>
      </c>
      <c r="G314">
        <v>86</v>
      </c>
      <c r="I314" s="2" t="s">
        <v>1</v>
      </c>
      <c r="J314" s="6" t="e">
        <v>#DIV/0!</v>
      </c>
      <c r="K314" s="6">
        <v>1</v>
      </c>
      <c r="L314" s="6">
        <v>1</v>
      </c>
      <c r="M314" s="6">
        <v>1</v>
      </c>
      <c r="N314" s="6">
        <v>1</v>
      </c>
      <c r="O314" s="6">
        <v>1</v>
      </c>
      <c r="Q314" s="2" t="s">
        <v>1</v>
      </c>
      <c r="S314">
        <v>8.8042307692307702</v>
      </c>
      <c r="T314">
        <v>8.1234482758620672</v>
      </c>
      <c r="U314">
        <v>8.101627906976745</v>
      </c>
      <c r="V314">
        <v>8.2945238095238079</v>
      </c>
      <c r="W314">
        <v>7.7253488372093013</v>
      </c>
    </row>
    <row r="316" spans="1:23" ht="58" x14ac:dyDescent="0.35">
      <c r="A316" s="112" t="s">
        <v>112</v>
      </c>
      <c r="B316" s="1" t="s">
        <v>130</v>
      </c>
      <c r="I316" s="1" t="s">
        <v>112</v>
      </c>
      <c r="J316" s="1" t="s">
        <v>130</v>
      </c>
      <c r="Q316" s="1" t="s">
        <v>113</v>
      </c>
      <c r="R316" s="1" t="s">
        <v>130</v>
      </c>
    </row>
    <row r="317" spans="1:23" x14ac:dyDescent="0.35">
      <c r="A317" s="112" t="s">
        <v>129</v>
      </c>
      <c r="B317">
        <v>2018</v>
      </c>
      <c r="C317">
        <v>2019</v>
      </c>
      <c r="D317">
        <v>2020</v>
      </c>
      <c r="E317">
        <v>2021</v>
      </c>
      <c r="F317">
        <v>2022</v>
      </c>
      <c r="G317">
        <v>2023</v>
      </c>
      <c r="I317" s="1" t="s">
        <v>129</v>
      </c>
      <c r="J317">
        <v>2018</v>
      </c>
      <c r="K317">
        <v>2019</v>
      </c>
      <c r="L317">
        <v>2020</v>
      </c>
      <c r="M317">
        <v>2021</v>
      </c>
      <c r="N317">
        <v>2022</v>
      </c>
      <c r="O317">
        <v>2023</v>
      </c>
      <c r="Q317" s="1" t="s">
        <v>129</v>
      </c>
      <c r="R317">
        <v>2018</v>
      </c>
      <c r="S317">
        <v>2019</v>
      </c>
      <c r="T317">
        <v>2020</v>
      </c>
      <c r="U317">
        <v>2021</v>
      </c>
      <c r="V317">
        <v>2022</v>
      </c>
      <c r="W317">
        <v>2023</v>
      </c>
    </row>
    <row r="318" spans="1:23" x14ac:dyDescent="0.35">
      <c r="A318" s="113">
        <v>0</v>
      </c>
      <c r="C318">
        <v>4</v>
      </c>
      <c r="E318">
        <v>3</v>
      </c>
      <c r="F318">
        <v>3</v>
      </c>
      <c r="G318">
        <v>2</v>
      </c>
      <c r="I318" s="2">
        <v>0</v>
      </c>
      <c r="J318" s="6" t="e">
        <v>#DIV/0!</v>
      </c>
      <c r="K318" s="6">
        <v>0.05</v>
      </c>
      <c r="L318" s="6">
        <v>0</v>
      </c>
      <c r="M318" s="6">
        <v>3.2258064516129031E-2</v>
      </c>
      <c r="N318" s="6">
        <v>3.5714285714285712E-2</v>
      </c>
      <c r="O318" s="6">
        <v>2.4096385542168676E-2</v>
      </c>
      <c r="P318" s="6"/>
      <c r="Q318" s="2">
        <v>0</v>
      </c>
      <c r="S318">
        <v>0</v>
      </c>
      <c r="U318">
        <v>0</v>
      </c>
      <c r="V318">
        <v>0</v>
      </c>
      <c r="W318">
        <v>0</v>
      </c>
    </row>
    <row r="319" spans="1:23" x14ac:dyDescent="0.35">
      <c r="A319" s="113">
        <v>3.33</v>
      </c>
      <c r="C319">
        <v>12</v>
      </c>
      <c r="D319">
        <v>2</v>
      </c>
      <c r="E319">
        <v>1</v>
      </c>
      <c r="F319">
        <v>3</v>
      </c>
      <c r="G319">
        <v>2</v>
      </c>
      <c r="I319" s="2">
        <v>3.33</v>
      </c>
      <c r="J319" s="6" t="e">
        <v>#DIV/0!</v>
      </c>
      <c r="K319" s="6">
        <v>0.15</v>
      </c>
      <c r="L319" s="6">
        <v>2.1052631578947368E-2</v>
      </c>
      <c r="M319" s="6">
        <v>1.0752688172043012E-2</v>
      </c>
      <c r="N319" s="6">
        <v>3.5714285714285712E-2</v>
      </c>
      <c r="O319" s="6">
        <v>2.4096385542168676E-2</v>
      </c>
      <c r="P319" s="6"/>
      <c r="Q319" s="2">
        <v>3.33</v>
      </c>
      <c r="S319">
        <v>3.3299999999999987</v>
      </c>
      <c r="T319">
        <v>3.33</v>
      </c>
      <c r="U319">
        <v>3.33</v>
      </c>
      <c r="V319">
        <v>3.33</v>
      </c>
      <c r="W319">
        <v>3.33</v>
      </c>
    </row>
    <row r="320" spans="1:23" x14ac:dyDescent="0.35">
      <c r="A320" s="113">
        <v>6.67</v>
      </c>
      <c r="C320">
        <v>24</v>
      </c>
      <c r="D320">
        <v>18</v>
      </c>
      <c r="E320">
        <v>19</v>
      </c>
      <c r="F320">
        <v>17</v>
      </c>
      <c r="G320">
        <v>16</v>
      </c>
      <c r="I320" s="2">
        <v>6.67</v>
      </c>
      <c r="J320" s="6" t="e">
        <v>#DIV/0!</v>
      </c>
      <c r="K320" s="6">
        <v>0.3</v>
      </c>
      <c r="L320" s="6">
        <v>0.18947368421052632</v>
      </c>
      <c r="M320" s="6">
        <v>0.20430107526881722</v>
      </c>
      <c r="N320" s="6">
        <v>0.20238095238095238</v>
      </c>
      <c r="O320" s="6">
        <v>0.19277108433734941</v>
      </c>
      <c r="P320" s="6"/>
      <c r="Q320" s="2">
        <v>6.67</v>
      </c>
      <c r="S320">
        <v>6.6699999999999982</v>
      </c>
      <c r="T320">
        <v>6.6700000000000008</v>
      </c>
      <c r="U320">
        <v>6.6700000000000008</v>
      </c>
      <c r="V320">
        <v>6.6700000000000008</v>
      </c>
      <c r="W320">
        <v>6.6700000000000008</v>
      </c>
    </row>
    <row r="321" spans="1:23" x14ac:dyDescent="0.35">
      <c r="A321" s="113">
        <v>10</v>
      </c>
      <c r="C321">
        <v>37</v>
      </c>
      <c r="D321">
        <v>65</v>
      </c>
      <c r="E321">
        <v>57</v>
      </c>
      <c r="F321">
        <v>61</v>
      </c>
      <c r="G321">
        <v>63</v>
      </c>
      <c r="I321" s="2">
        <v>10</v>
      </c>
      <c r="J321" s="6" t="e">
        <v>#DIV/0!</v>
      </c>
      <c r="K321" s="6">
        <v>0.46250000000000002</v>
      </c>
      <c r="L321" s="6">
        <v>0.68421052631578949</v>
      </c>
      <c r="M321" s="6">
        <v>0.61290322580645162</v>
      </c>
      <c r="N321" s="6">
        <v>0.72619047619047616</v>
      </c>
      <c r="O321" s="6">
        <v>0.75903614457831325</v>
      </c>
      <c r="P321" s="6"/>
      <c r="Q321" s="2">
        <v>10</v>
      </c>
      <c r="S321">
        <v>10</v>
      </c>
      <c r="T321">
        <v>10</v>
      </c>
      <c r="U321">
        <v>10</v>
      </c>
      <c r="V321">
        <v>10</v>
      </c>
      <c r="W321">
        <v>10</v>
      </c>
    </row>
    <row r="322" spans="1:23" x14ac:dyDescent="0.35">
      <c r="A322" s="113" t="s">
        <v>128</v>
      </c>
      <c r="C322">
        <v>3</v>
      </c>
      <c r="D322">
        <v>10</v>
      </c>
      <c r="I322" s="2" t="s">
        <v>128</v>
      </c>
      <c r="J322" s="6" t="e">
        <v>#DIV/0!</v>
      </c>
      <c r="K322" s="6">
        <v>3.7499999999999999E-2</v>
      </c>
      <c r="L322" s="6">
        <v>0.10526315789473684</v>
      </c>
      <c r="M322" s="6">
        <v>0</v>
      </c>
      <c r="N322" s="6">
        <v>0</v>
      </c>
      <c r="O322" s="6">
        <v>0</v>
      </c>
      <c r="P322" s="6"/>
      <c r="Q322" s="2" t="s">
        <v>128</v>
      </c>
      <c r="S322" t="e">
        <v>#DIV/0!</v>
      </c>
      <c r="T322" t="e">
        <v>#DIV/0!</v>
      </c>
    </row>
    <row r="323" spans="1:23" x14ac:dyDescent="0.35">
      <c r="A323" s="113" t="s">
        <v>77</v>
      </c>
      <c r="I323" s="2" t="s">
        <v>77</v>
      </c>
      <c r="J323" s="6" t="e">
        <v>#DIV/0!</v>
      </c>
      <c r="K323" s="6">
        <v>0</v>
      </c>
      <c r="L323" s="6">
        <v>0</v>
      </c>
      <c r="M323" s="6">
        <v>0</v>
      </c>
      <c r="N323" s="6">
        <v>0</v>
      </c>
      <c r="O323" s="6">
        <v>0</v>
      </c>
      <c r="P323" s="6"/>
      <c r="Q323" s="2" t="s">
        <v>77</v>
      </c>
    </row>
    <row r="324" spans="1:23" x14ac:dyDescent="0.35">
      <c r="A324" s="113" t="s">
        <v>17</v>
      </c>
      <c r="E324">
        <v>13</v>
      </c>
      <c r="I324" s="2" t="s">
        <v>17</v>
      </c>
      <c r="J324" s="6" t="e">
        <v>#DIV/0!</v>
      </c>
      <c r="K324" s="6">
        <v>0</v>
      </c>
      <c r="L324" s="6">
        <v>0</v>
      </c>
      <c r="M324" s="6">
        <v>0.13978494623655913</v>
      </c>
      <c r="N324" s="6">
        <v>0</v>
      </c>
      <c r="O324" s="6">
        <v>0</v>
      </c>
      <c r="P324" s="6"/>
      <c r="Q324" s="2" t="s">
        <v>17</v>
      </c>
      <c r="U324" t="e">
        <v>#DIV/0!</v>
      </c>
    </row>
    <row r="325" spans="1:23" x14ac:dyDescent="0.35">
      <c r="A325" s="113" t="s">
        <v>1</v>
      </c>
      <c r="C325">
        <v>80</v>
      </c>
      <c r="D325">
        <v>95</v>
      </c>
      <c r="E325">
        <v>93</v>
      </c>
      <c r="F325">
        <v>84</v>
      </c>
      <c r="G325">
        <v>83</v>
      </c>
      <c r="I325" s="2" t="s">
        <v>1</v>
      </c>
      <c r="J325" s="6" t="e">
        <v>#DIV/0!</v>
      </c>
      <c r="K325" s="6">
        <v>1</v>
      </c>
      <c r="L325" s="6">
        <v>1</v>
      </c>
      <c r="M325" s="6">
        <v>1</v>
      </c>
      <c r="N325" s="6">
        <v>1</v>
      </c>
      <c r="O325" s="6">
        <v>1</v>
      </c>
      <c r="P325" s="6"/>
      <c r="Q325" s="2" t="s">
        <v>1</v>
      </c>
      <c r="S325">
        <v>7.4031168831168808</v>
      </c>
      <c r="T325">
        <v>9.1378823529411761</v>
      </c>
      <c r="U325">
        <v>8.75075</v>
      </c>
      <c r="V325">
        <v>8.730714285714285</v>
      </c>
      <c r="W325">
        <v>8.9563855421686753</v>
      </c>
    </row>
    <row r="328" spans="1:23" ht="29" x14ac:dyDescent="0.35">
      <c r="A328" s="112" t="s">
        <v>114</v>
      </c>
      <c r="B328" s="1" t="s">
        <v>130</v>
      </c>
      <c r="I328" s="1" t="s">
        <v>114</v>
      </c>
      <c r="J328" s="1" t="s">
        <v>130</v>
      </c>
      <c r="Q328" s="1" t="s">
        <v>115</v>
      </c>
      <c r="R328" s="1" t="s">
        <v>130</v>
      </c>
    </row>
    <row r="329" spans="1:23" x14ac:dyDescent="0.35">
      <c r="A329" s="112" t="s">
        <v>129</v>
      </c>
      <c r="B329">
        <v>2018</v>
      </c>
      <c r="C329">
        <v>2019</v>
      </c>
      <c r="D329">
        <v>2020</v>
      </c>
      <c r="E329">
        <v>2021</v>
      </c>
      <c r="F329">
        <v>2022</v>
      </c>
      <c r="G329">
        <v>2023</v>
      </c>
      <c r="I329" s="1" t="s">
        <v>129</v>
      </c>
      <c r="J329">
        <v>2018</v>
      </c>
      <c r="K329">
        <v>2019</v>
      </c>
      <c r="L329">
        <v>2020</v>
      </c>
      <c r="M329">
        <v>2021</v>
      </c>
      <c r="N329">
        <v>2022</v>
      </c>
      <c r="O329">
        <v>2023</v>
      </c>
      <c r="Q329" s="1" t="s">
        <v>129</v>
      </c>
      <c r="R329">
        <v>2018</v>
      </c>
      <c r="S329">
        <v>2019</v>
      </c>
      <c r="T329">
        <v>2020</v>
      </c>
      <c r="U329">
        <v>2021</v>
      </c>
      <c r="V329">
        <v>2022</v>
      </c>
      <c r="W329">
        <v>2023</v>
      </c>
    </row>
    <row r="330" spans="1:23" x14ac:dyDescent="0.35">
      <c r="A330" s="113">
        <v>0</v>
      </c>
      <c r="D330">
        <v>15</v>
      </c>
      <c r="E330">
        <v>13</v>
      </c>
      <c r="F330">
        <v>12</v>
      </c>
      <c r="G330">
        <v>6</v>
      </c>
      <c r="I330" s="2">
        <v>0</v>
      </c>
      <c r="J330" s="6" t="e">
        <v>#DIV/0!</v>
      </c>
      <c r="K330" s="6">
        <v>0</v>
      </c>
      <c r="L330" s="6">
        <v>0.16483516483516483</v>
      </c>
      <c r="M330" s="6">
        <v>0.13402061855670103</v>
      </c>
      <c r="N330" s="6">
        <v>0.1276595744680851</v>
      </c>
      <c r="O330" s="6">
        <v>7.8947368421052627E-2</v>
      </c>
      <c r="P330" s="6"/>
      <c r="Q330" s="2">
        <v>0</v>
      </c>
      <c r="T330">
        <v>0</v>
      </c>
      <c r="U330">
        <v>0</v>
      </c>
      <c r="V330">
        <v>0</v>
      </c>
      <c r="W330">
        <v>0</v>
      </c>
    </row>
    <row r="331" spans="1:23" x14ac:dyDescent="0.35">
      <c r="A331" s="113">
        <v>3.33</v>
      </c>
      <c r="C331">
        <v>2</v>
      </c>
      <c r="D331">
        <v>13</v>
      </c>
      <c r="E331">
        <v>15</v>
      </c>
      <c r="F331">
        <v>21</v>
      </c>
      <c r="G331">
        <v>9</v>
      </c>
      <c r="I331" s="2">
        <v>3.33</v>
      </c>
      <c r="J331" s="6" t="e">
        <v>#DIV/0!</v>
      </c>
      <c r="K331" s="6">
        <v>2.7027027027027029E-2</v>
      </c>
      <c r="L331" s="6">
        <v>0.14285714285714285</v>
      </c>
      <c r="M331" s="6">
        <v>0.15463917525773196</v>
      </c>
      <c r="N331" s="6">
        <v>0.22340425531914893</v>
      </c>
      <c r="O331" s="6">
        <v>0.11842105263157894</v>
      </c>
      <c r="P331" s="6"/>
      <c r="Q331" s="2">
        <v>3.33</v>
      </c>
      <c r="S331">
        <v>3.33</v>
      </c>
      <c r="T331">
        <v>3.3299999999999987</v>
      </c>
      <c r="U331">
        <v>3.3299999999999987</v>
      </c>
      <c r="V331">
        <v>3.3299999999999992</v>
      </c>
      <c r="W331">
        <v>3.3299999999999992</v>
      </c>
    </row>
    <row r="332" spans="1:23" x14ac:dyDescent="0.35">
      <c r="A332" s="113">
        <v>6.67</v>
      </c>
      <c r="C332">
        <v>15</v>
      </c>
      <c r="D332">
        <v>38</v>
      </c>
      <c r="E332">
        <v>38</v>
      </c>
      <c r="F332">
        <v>31</v>
      </c>
      <c r="G332">
        <v>27</v>
      </c>
      <c r="I332" s="2">
        <v>6.67</v>
      </c>
      <c r="J332" s="6" t="e">
        <v>#DIV/0!</v>
      </c>
      <c r="K332" s="6">
        <v>0.20270270270270271</v>
      </c>
      <c r="L332" s="6">
        <v>0.4175824175824176</v>
      </c>
      <c r="M332" s="6">
        <v>0.39175257731958762</v>
      </c>
      <c r="N332" s="6">
        <v>0.32978723404255317</v>
      </c>
      <c r="O332" s="6">
        <v>0.35526315789473684</v>
      </c>
      <c r="P332" s="6"/>
      <c r="Q332" s="2">
        <v>6.67</v>
      </c>
      <c r="S332">
        <v>6.6700000000000008</v>
      </c>
      <c r="T332">
        <v>6.6699999999999946</v>
      </c>
      <c r="U332">
        <v>6.6699999999999946</v>
      </c>
      <c r="V332">
        <v>6.6699999999999955</v>
      </c>
      <c r="W332">
        <v>6.6699999999999973</v>
      </c>
    </row>
    <row r="333" spans="1:23" x14ac:dyDescent="0.35">
      <c r="A333" s="113">
        <v>10</v>
      </c>
      <c r="C333">
        <v>51</v>
      </c>
      <c r="D333">
        <v>22</v>
      </c>
      <c r="E333">
        <v>26</v>
      </c>
      <c r="F333">
        <v>30</v>
      </c>
      <c r="G333">
        <v>33</v>
      </c>
      <c r="I333" s="2">
        <v>10</v>
      </c>
      <c r="J333" s="6" t="e">
        <v>#DIV/0!</v>
      </c>
      <c r="K333" s="6">
        <v>0.68918918918918914</v>
      </c>
      <c r="L333" s="6">
        <v>0.24175824175824176</v>
      </c>
      <c r="M333" s="6">
        <v>0.26804123711340205</v>
      </c>
      <c r="N333" s="6">
        <v>0.31914893617021278</v>
      </c>
      <c r="O333" s="6">
        <v>0.43421052631578949</v>
      </c>
      <c r="P333" s="6"/>
      <c r="Q333" s="2">
        <v>10</v>
      </c>
      <c r="S333">
        <v>10</v>
      </c>
      <c r="T333">
        <v>10</v>
      </c>
      <c r="U333">
        <v>10</v>
      </c>
      <c r="V333">
        <v>10</v>
      </c>
      <c r="W333">
        <v>10</v>
      </c>
    </row>
    <row r="334" spans="1:23" x14ac:dyDescent="0.35">
      <c r="A334" s="113" t="s">
        <v>128</v>
      </c>
      <c r="C334">
        <v>6</v>
      </c>
      <c r="D334">
        <v>3</v>
      </c>
      <c r="I334" s="2" t="s">
        <v>128</v>
      </c>
      <c r="J334" s="6" t="e">
        <v>#DIV/0!</v>
      </c>
      <c r="K334" s="6">
        <v>8.1081081081081086E-2</v>
      </c>
      <c r="L334" s="6">
        <v>3.2967032967032968E-2</v>
      </c>
      <c r="M334" s="6">
        <v>0</v>
      </c>
      <c r="N334" s="6">
        <v>0</v>
      </c>
      <c r="O334" s="6">
        <v>0</v>
      </c>
      <c r="P334" s="6"/>
      <c r="Q334" s="2" t="s">
        <v>128</v>
      </c>
      <c r="S334" t="e">
        <v>#DIV/0!</v>
      </c>
      <c r="T334" t="e">
        <v>#DIV/0!</v>
      </c>
    </row>
    <row r="335" spans="1:23" x14ac:dyDescent="0.35">
      <c r="A335" s="113" t="s">
        <v>77</v>
      </c>
      <c r="I335" s="2" t="s">
        <v>77</v>
      </c>
      <c r="J335" s="6" t="e">
        <v>#DIV/0!</v>
      </c>
      <c r="K335" s="6">
        <v>0</v>
      </c>
      <c r="L335" s="6">
        <v>0</v>
      </c>
      <c r="M335" s="6">
        <v>0</v>
      </c>
      <c r="N335" s="6">
        <v>0</v>
      </c>
      <c r="O335" s="6">
        <v>0</v>
      </c>
      <c r="P335" s="6"/>
      <c r="Q335" s="2" t="s">
        <v>77</v>
      </c>
    </row>
    <row r="336" spans="1:23" x14ac:dyDescent="0.35">
      <c r="A336" s="113" t="s">
        <v>17</v>
      </c>
      <c r="E336">
        <v>5</v>
      </c>
      <c r="I336" s="2" t="s">
        <v>17</v>
      </c>
      <c r="J336" s="6" t="e">
        <v>#DIV/0!</v>
      </c>
      <c r="K336" s="6">
        <v>0</v>
      </c>
      <c r="L336" s="6">
        <v>0</v>
      </c>
      <c r="M336" s="6">
        <v>5.1546391752577317E-2</v>
      </c>
      <c r="N336" s="6">
        <v>0</v>
      </c>
      <c r="O336" s="6">
        <v>0</v>
      </c>
      <c r="P336" s="6"/>
      <c r="Q336" s="2" t="s">
        <v>17</v>
      </c>
      <c r="U336" t="e">
        <v>#DIV/0!</v>
      </c>
    </row>
    <row r="337" spans="1:23" x14ac:dyDescent="0.35">
      <c r="A337" s="113">
        <v>1</v>
      </c>
      <c r="G337">
        <v>1</v>
      </c>
      <c r="I337" s="2">
        <v>1</v>
      </c>
      <c r="J337" s="6" t="e">
        <v>#DIV/0!</v>
      </c>
      <c r="K337" s="6">
        <v>0</v>
      </c>
      <c r="L337" s="6">
        <v>0</v>
      </c>
      <c r="M337" s="6">
        <v>0</v>
      </c>
      <c r="N337" s="6">
        <v>0</v>
      </c>
      <c r="O337" s="6">
        <v>1.3157894736842105E-2</v>
      </c>
      <c r="P337" s="6"/>
      <c r="Q337" s="2">
        <v>1</v>
      </c>
      <c r="W337">
        <v>1</v>
      </c>
    </row>
    <row r="338" spans="1:23" x14ac:dyDescent="0.35">
      <c r="A338" s="113" t="s">
        <v>1</v>
      </c>
      <c r="C338">
        <v>74</v>
      </c>
      <c r="D338">
        <v>91</v>
      </c>
      <c r="E338">
        <v>97</v>
      </c>
      <c r="F338">
        <v>94</v>
      </c>
      <c r="G338">
        <v>76</v>
      </c>
      <c r="I338" s="2" t="s">
        <v>1</v>
      </c>
      <c r="J338" s="6" t="e">
        <v>#DIV/0!</v>
      </c>
      <c r="K338" s="6">
        <v>1</v>
      </c>
      <c r="L338" s="6">
        <v>1</v>
      </c>
      <c r="M338" s="6">
        <v>1</v>
      </c>
      <c r="N338" s="6">
        <v>1</v>
      </c>
      <c r="O338" s="6">
        <v>1</v>
      </c>
      <c r="Q338" s="2" t="s">
        <v>1</v>
      </c>
      <c r="S338">
        <v>9.0692647058823539</v>
      </c>
      <c r="T338">
        <v>5.8721590909090899</v>
      </c>
      <c r="U338">
        <v>6.1240217391304332</v>
      </c>
      <c r="V338">
        <v>6.1351063829787211</v>
      </c>
      <c r="W338">
        <v>7.1192105263157872</v>
      </c>
    </row>
    <row r="340" spans="1:23" ht="43.5" x14ac:dyDescent="0.35">
      <c r="A340" s="112" t="s">
        <v>116</v>
      </c>
      <c r="B340" s="1" t="s">
        <v>130</v>
      </c>
      <c r="I340" s="1" t="s">
        <v>116</v>
      </c>
      <c r="J340" s="1" t="s">
        <v>130</v>
      </c>
      <c r="Q340" s="1" t="s">
        <v>117</v>
      </c>
      <c r="R340" s="1" t="s">
        <v>130</v>
      </c>
    </row>
    <row r="341" spans="1:23" x14ac:dyDescent="0.35">
      <c r="A341" s="112" t="s">
        <v>129</v>
      </c>
      <c r="B341">
        <v>2018</v>
      </c>
      <c r="C341">
        <v>2019</v>
      </c>
      <c r="D341">
        <v>2020</v>
      </c>
      <c r="E341">
        <v>2021</v>
      </c>
      <c r="F341">
        <v>2022</v>
      </c>
      <c r="G341">
        <v>2023</v>
      </c>
      <c r="I341" s="1" t="s">
        <v>129</v>
      </c>
      <c r="J341">
        <v>2018</v>
      </c>
      <c r="K341">
        <v>2019</v>
      </c>
      <c r="L341">
        <v>2020</v>
      </c>
      <c r="M341">
        <v>2021</v>
      </c>
      <c r="N341">
        <v>2022</v>
      </c>
      <c r="O341">
        <v>2023</v>
      </c>
      <c r="Q341" s="1" t="s">
        <v>129</v>
      </c>
      <c r="R341">
        <v>2018</v>
      </c>
      <c r="S341">
        <v>2019</v>
      </c>
      <c r="T341">
        <v>2020</v>
      </c>
      <c r="U341">
        <v>2021</v>
      </c>
      <c r="V341">
        <v>2022</v>
      </c>
      <c r="W341">
        <v>2023</v>
      </c>
    </row>
    <row r="342" spans="1:23" x14ac:dyDescent="0.35">
      <c r="A342" s="113">
        <v>0</v>
      </c>
      <c r="C342">
        <v>3</v>
      </c>
      <c r="D342">
        <v>6</v>
      </c>
      <c r="E342">
        <v>4</v>
      </c>
      <c r="F342">
        <v>7</v>
      </c>
      <c r="G342">
        <v>3</v>
      </c>
      <c r="I342" s="2">
        <v>0</v>
      </c>
      <c r="J342" s="6" t="e">
        <v>#DIV/0!</v>
      </c>
      <c r="K342" s="6">
        <v>4.0540540540540543E-2</v>
      </c>
      <c r="L342" s="6">
        <v>6.25E-2</v>
      </c>
      <c r="M342" s="6">
        <v>4.2553191489361701E-2</v>
      </c>
      <c r="N342" s="6">
        <v>9.0909090909090912E-2</v>
      </c>
      <c r="O342" s="6">
        <v>3.5714285714285712E-2</v>
      </c>
      <c r="P342" s="6"/>
      <c r="Q342" s="2">
        <v>0</v>
      </c>
      <c r="S342">
        <v>0</v>
      </c>
      <c r="T342">
        <v>0</v>
      </c>
      <c r="U342">
        <v>0</v>
      </c>
      <c r="V342">
        <v>0</v>
      </c>
      <c r="W342">
        <v>0</v>
      </c>
    </row>
    <row r="343" spans="1:23" x14ac:dyDescent="0.35">
      <c r="A343" s="113">
        <v>3.33</v>
      </c>
      <c r="C343">
        <v>2</v>
      </c>
      <c r="D343">
        <v>2</v>
      </c>
      <c r="E343">
        <v>3</v>
      </c>
      <c r="F343">
        <v>3</v>
      </c>
      <c r="G343">
        <v>8</v>
      </c>
      <c r="I343" s="2">
        <v>3.33</v>
      </c>
      <c r="J343" s="6" t="e">
        <v>#DIV/0!</v>
      </c>
      <c r="K343" s="6">
        <v>2.7027027027027029E-2</v>
      </c>
      <c r="L343" s="6">
        <v>2.0833333333333332E-2</v>
      </c>
      <c r="M343" s="6">
        <v>3.1914893617021274E-2</v>
      </c>
      <c r="N343" s="6">
        <v>3.896103896103896E-2</v>
      </c>
      <c r="O343" s="6">
        <v>9.5238095238095233E-2</v>
      </c>
      <c r="P343" s="6"/>
      <c r="Q343" s="2">
        <v>3.33</v>
      </c>
      <c r="S343">
        <v>3.33</v>
      </c>
      <c r="T343">
        <v>3.33</v>
      </c>
      <c r="U343">
        <v>3.33</v>
      </c>
      <c r="V343">
        <v>3.33</v>
      </c>
      <c r="W343">
        <v>3.3299999999999992</v>
      </c>
    </row>
    <row r="344" spans="1:23" x14ac:dyDescent="0.35">
      <c r="A344" s="113">
        <v>6.67</v>
      </c>
      <c r="C344">
        <v>19</v>
      </c>
      <c r="D344">
        <v>29</v>
      </c>
      <c r="E344">
        <v>29</v>
      </c>
      <c r="F344">
        <v>27</v>
      </c>
      <c r="G344">
        <v>26</v>
      </c>
      <c r="I344" s="2">
        <v>6.67</v>
      </c>
      <c r="J344" s="6" t="e">
        <v>#DIV/0!</v>
      </c>
      <c r="K344" s="6">
        <v>0.25675675675675674</v>
      </c>
      <c r="L344" s="6">
        <v>0.30208333333333331</v>
      </c>
      <c r="M344" s="6">
        <v>0.30851063829787234</v>
      </c>
      <c r="N344" s="6">
        <v>0.35064935064935066</v>
      </c>
      <c r="O344" s="6">
        <v>0.30952380952380953</v>
      </c>
      <c r="P344" s="6"/>
      <c r="Q344" s="2">
        <v>6.67</v>
      </c>
      <c r="S344">
        <v>6.6700000000000008</v>
      </c>
      <c r="T344">
        <v>6.6699999999999964</v>
      </c>
      <c r="U344">
        <v>6.6699999999999964</v>
      </c>
      <c r="V344">
        <v>6.6699999999999973</v>
      </c>
      <c r="W344">
        <v>6.6699999999999973</v>
      </c>
    </row>
    <row r="345" spans="1:23" x14ac:dyDescent="0.35">
      <c r="A345" s="113">
        <v>10</v>
      </c>
      <c r="C345">
        <v>43</v>
      </c>
      <c r="D345">
        <v>44</v>
      </c>
      <c r="E345">
        <v>33</v>
      </c>
      <c r="F345">
        <v>40</v>
      </c>
      <c r="G345">
        <v>47</v>
      </c>
      <c r="I345" s="2">
        <v>10</v>
      </c>
      <c r="J345" s="6" t="e">
        <v>#DIV/0!</v>
      </c>
      <c r="K345" s="6">
        <v>0.58108108108108103</v>
      </c>
      <c r="L345" s="6">
        <v>0.45833333333333331</v>
      </c>
      <c r="M345" s="6">
        <v>0.35106382978723405</v>
      </c>
      <c r="N345" s="6">
        <v>0.51948051948051943</v>
      </c>
      <c r="O345" s="6">
        <v>0.55952380952380953</v>
      </c>
      <c r="P345" s="6"/>
      <c r="Q345" s="2">
        <v>10</v>
      </c>
      <c r="S345">
        <v>10</v>
      </c>
      <c r="T345">
        <v>10</v>
      </c>
      <c r="U345">
        <v>10</v>
      </c>
      <c r="V345">
        <v>10</v>
      </c>
      <c r="W345">
        <v>10</v>
      </c>
    </row>
    <row r="346" spans="1:23" x14ac:dyDescent="0.35">
      <c r="A346" s="113" t="s">
        <v>128</v>
      </c>
      <c r="C346">
        <v>7</v>
      </c>
      <c r="D346">
        <v>15</v>
      </c>
      <c r="I346" s="2" t="s">
        <v>128</v>
      </c>
      <c r="J346" s="6" t="e">
        <v>#DIV/0!</v>
      </c>
      <c r="K346" s="6">
        <v>9.45945945945946E-2</v>
      </c>
      <c r="L346" s="6">
        <v>0.15625</v>
      </c>
      <c r="M346" s="6">
        <v>0</v>
      </c>
      <c r="N346" s="6">
        <v>0</v>
      </c>
      <c r="O346" s="6">
        <v>0</v>
      </c>
      <c r="P346" s="6"/>
      <c r="Q346" s="2" t="s">
        <v>128</v>
      </c>
      <c r="S346" t="e">
        <v>#DIV/0!</v>
      </c>
      <c r="T346" t="e">
        <v>#DIV/0!</v>
      </c>
    </row>
    <row r="347" spans="1:23" x14ac:dyDescent="0.35">
      <c r="A347" s="113" t="s">
        <v>77</v>
      </c>
      <c r="I347" s="2" t="s">
        <v>77</v>
      </c>
      <c r="J347" s="6" t="e">
        <v>#DIV/0!</v>
      </c>
      <c r="K347" s="6">
        <v>0</v>
      </c>
      <c r="L347" s="6">
        <v>0</v>
      </c>
      <c r="M347" s="6">
        <v>0</v>
      </c>
      <c r="N347" s="6">
        <v>0</v>
      </c>
      <c r="O347" s="6">
        <v>0</v>
      </c>
      <c r="P347" s="6"/>
      <c r="Q347" s="2" t="s">
        <v>77</v>
      </c>
    </row>
    <row r="348" spans="1:23" x14ac:dyDescent="0.35">
      <c r="A348" s="113" t="s">
        <v>17</v>
      </c>
      <c r="E348">
        <v>25</v>
      </c>
      <c r="I348" s="2" t="s">
        <v>17</v>
      </c>
      <c r="J348" s="6" t="e">
        <v>#DIV/0!</v>
      </c>
      <c r="K348" s="6">
        <v>0</v>
      </c>
      <c r="L348" s="6">
        <v>0</v>
      </c>
      <c r="M348" s="6">
        <v>0.26595744680851063</v>
      </c>
      <c r="N348" s="6">
        <v>0</v>
      </c>
      <c r="O348" s="6">
        <v>0</v>
      </c>
      <c r="P348" s="6"/>
      <c r="Q348" s="2" t="s">
        <v>17</v>
      </c>
      <c r="U348" t="e">
        <v>#DIV/0!</v>
      </c>
    </row>
    <row r="349" spans="1:23" x14ac:dyDescent="0.35">
      <c r="A349" s="113" t="s">
        <v>1</v>
      </c>
      <c r="C349">
        <v>74</v>
      </c>
      <c r="D349">
        <v>96</v>
      </c>
      <c r="E349">
        <v>94</v>
      </c>
      <c r="F349">
        <v>77</v>
      </c>
      <c r="G349">
        <v>84</v>
      </c>
      <c r="I349" s="2" t="s">
        <v>1</v>
      </c>
      <c r="J349" s="6" t="e">
        <v>#DIV/0!</v>
      </c>
      <c r="K349" s="6">
        <v>1</v>
      </c>
      <c r="L349" s="6">
        <v>1</v>
      </c>
      <c r="M349" s="6">
        <v>1</v>
      </c>
      <c r="N349" s="6">
        <v>1</v>
      </c>
      <c r="O349" s="6">
        <v>1</v>
      </c>
      <c r="P349" s="6"/>
      <c r="Q349" s="2" t="s">
        <v>1</v>
      </c>
      <c r="S349">
        <v>8.4088059701492543</v>
      </c>
      <c r="T349">
        <v>7.9023456790123445</v>
      </c>
      <c r="U349">
        <v>7.7307246376811571</v>
      </c>
      <c r="V349">
        <v>7.6633766233766227</v>
      </c>
      <c r="W349">
        <v>7.9769047619047608</v>
      </c>
    </row>
  </sheetData>
  <pageMargins left="0.7" right="0.7" top="0.75" bottom="0.75" header="0.3" footer="0.3"/>
  <drawing r:id="rId87"/>
  <extLst>
    <ext xmlns:x14="http://schemas.microsoft.com/office/spreadsheetml/2009/9/main" uri="{A8765BA9-456A-4dab-B4F3-ACF838C121DE}">
      <x14:slicerList>
        <x14:slicer r:id="rId88"/>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ABA31-AB45-4315-8240-5253FCDD4E43}">
  <dimension ref="A1:B6"/>
  <sheetViews>
    <sheetView workbookViewId="0"/>
  </sheetViews>
  <sheetFormatPr defaultRowHeight="14.5" x14ac:dyDescent="0.35"/>
  <cols>
    <col min="1" max="1" width="47.54296875" customWidth="1"/>
  </cols>
  <sheetData>
    <row r="1" spans="1:2" x14ac:dyDescent="0.35">
      <c r="A1" s="110" t="s">
        <v>19</v>
      </c>
      <c r="B1" s="110">
        <v>2019</v>
      </c>
    </row>
    <row r="2" spans="1:2" x14ac:dyDescent="0.35">
      <c r="A2" s="111" t="s">
        <v>18</v>
      </c>
      <c r="B2" s="111">
        <v>2020</v>
      </c>
    </row>
    <row r="3" spans="1:2" x14ac:dyDescent="0.35">
      <c r="A3" s="111" t="s">
        <v>53</v>
      </c>
      <c r="B3" s="111">
        <v>2020</v>
      </c>
    </row>
    <row r="4" spans="1:2" x14ac:dyDescent="0.35">
      <c r="A4" s="111" t="s">
        <v>48</v>
      </c>
      <c r="B4" s="111">
        <v>2020</v>
      </c>
    </row>
    <row r="5" spans="1:2" x14ac:dyDescent="0.35">
      <c r="A5" s="111" t="s">
        <v>20</v>
      </c>
      <c r="B5" s="111">
        <v>2020</v>
      </c>
    </row>
    <row r="6" spans="1:2" x14ac:dyDescent="0.35">
      <c r="A6" s="110" t="s">
        <v>43</v>
      </c>
      <c r="B6" s="110">
        <v>2020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vt:i4>
      </vt:variant>
    </vt:vector>
  </HeadingPairs>
  <TitlesOfParts>
    <vt:vector size="8" baseType="lpstr">
      <vt:lpstr>Tabeller</vt:lpstr>
      <vt:lpstr>Snabböversikt</vt:lpstr>
      <vt:lpstr>Historik medelvärden</vt:lpstr>
      <vt:lpstr>Svarsfrekvens</vt:lpstr>
      <vt:lpstr>pivot</vt:lpstr>
      <vt:lpstr>Pivot Index</vt:lpstr>
      <vt:lpstr>Blad4</vt:lpstr>
      <vt:lpstr>Tabeller!Utskriftsområde</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Forslund, Magnus;Hanna.Chapman@vasteras.se</dc:creator>
  <cp:lastModifiedBy>Lundquist, Maria</cp:lastModifiedBy>
  <cp:lastPrinted>2018-04-04T08:42:41Z</cp:lastPrinted>
  <dcterms:created xsi:type="dcterms:W3CDTF">2014-04-01T13:40:34Z</dcterms:created>
  <dcterms:modified xsi:type="dcterms:W3CDTF">2023-03-23T11:52:47Z</dcterms:modified>
</cp:coreProperties>
</file>